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2444-па_26.12.2025\"/>
    </mc:Choice>
  </mc:AlternateContent>
  <xr:revisionPtr revIDLastSave="0" documentId="13_ncr:1_{1E69BC6D-50D7-4626-BEDF-3C4BC56E03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есурсное обеспечение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" l="1"/>
  <c r="K48" i="1"/>
  <c r="K47" i="1"/>
  <c r="K44" i="1"/>
  <c r="K42" i="1"/>
  <c r="K41" i="1"/>
  <c r="K23" i="1"/>
  <c r="K19" i="1"/>
  <c r="K55" i="1" l="1"/>
  <c r="D49" i="1" l="1"/>
  <c r="D48" i="1"/>
  <c r="D47" i="1"/>
  <c r="D45" i="1"/>
  <c r="D44" i="1"/>
  <c r="D41" i="1"/>
  <c r="D40" i="1"/>
  <c r="D35" i="1"/>
  <c r="D34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6" i="1"/>
  <c r="D15" i="1"/>
  <c r="D46" i="1" l="1"/>
  <c r="M65" i="1"/>
  <c r="M64" i="1" s="1"/>
  <c r="M63" i="1" s="1"/>
  <c r="M62" i="1" s="1"/>
  <c r="M61" i="1"/>
  <c r="M60" i="1" s="1"/>
  <c r="M54" i="1"/>
  <c r="M46" i="1"/>
  <c r="M43" i="1"/>
  <c r="M39" i="1"/>
  <c r="M17" i="1"/>
  <c r="M12" i="1" s="1"/>
  <c r="M11" i="1" s="1"/>
  <c r="M36" i="1" l="1"/>
  <c r="M59" i="1"/>
  <c r="M58" i="1" s="1"/>
  <c r="M52" i="1"/>
  <c r="M9" i="1" s="1"/>
  <c r="M53" i="1"/>
  <c r="M10" i="1" s="1"/>
  <c r="M51" i="1" l="1"/>
  <c r="M50" i="1" s="1"/>
  <c r="I57" i="1"/>
  <c r="D57" i="1" s="1"/>
  <c r="I56" i="1"/>
  <c r="D56" i="1" s="1"/>
  <c r="I55" i="1"/>
  <c r="I42" i="1"/>
  <c r="D42" i="1" s="1"/>
  <c r="M8" i="1" l="1"/>
  <c r="M7" i="1" s="1"/>
  <c r="H39" i="1" l="1"/>
  <c r="I39" i="1"/>
  <c r="J39" i="1"/>
  <c r="K39" i="1"/>
  <c r="K65" i="1"/>
  <c r="K64" i="1" s="1"/>
  <c r="K63" i="1" s="1"/>
  <c r="K62" i="1" s="1"/>
  <c r="K61" i="1"/>
  <c r="K60" i="1" s="1"/>
  <c r="K59" i="1" s="1"/>
  <c r="K54" i="1"/>
  <c r="K46" i="1"/>
  <c r="K43" i="1"/>
  <c r="K17" i="1"/>
  <c r="K12" i="1" s="1"/>
  <c r="K11" i="1" s="1"/>
  <c r="K53" i="1" l="1"/>
  <c r="K10" i="1" s="1"/>
  <c r="K36" i="1"/>
  <c r="K58" i="1"/>
  <c r="K51" i="1"/>
  <c r="K52" i="1"/>
  <c r="K9" i="1" s="1"/>
  <c r="K50" i="1" l="1"/>
  <c r="K8" i="1"/>
  <c r="K7" i="1" s="1"/>
  <c r="J65" i="1"/>
  <c r="J64" i="1" s="1"/>
  <c r="J63" i="1" s="1"/>
  <c r="J62" i="1" s="1"/>
  <c r="J61" i="1"/>
  <c r="J60" i="1" s="1"/>
  <c r="J59" i="1" s="1"/>
  <c r="J54" i="1"/>
  <c r="J46" i="1"/>
  <c r="J43" i="1"/>
  <c r="J17" i="1"/>
  <c r="J14" i="1"/>
  <c r="J12" i="1" l="1"/>
  <c r="J11" i="1" s="1"/>
  <c r="J53" i="1"/>
  <c r="J10" i="1" s="1"/>
  <c r="J36" i="1"/>
  <c r="J58" i="1"/>
  <c r="J51" i="1"/>
  <c r="J52" i="1"/>
  <c r="J9" i="1" s="1"/>
  <c r="I54" i="1"/>
  <c r="J50" i="1" l="1"/>
  <c r="J8" i="1"/>
  <c r="J7" i="1" s="1"/>
  <c r="H38" i="1"/>
  <c r="D38" i="1" s="1"/>
  <c r="H37" i="1"/>
  <c r="D37" i="1" s="1"/>
  <c r="G55" i="1" l="1"/>
  <c r="D55" i="1" s="1"/>
  <c r="I14" i="1" l="1"/>
  <c r="H14" i="1"/>
  <c r="L39" i="1"/>
  <c r="G46" i="1" l="1"/>
  <c r="L65" i="1"/>
  <c r="I65" i="1"/>
  <c r="I62" i="1" s="1"/>
  <c r="H65" i="1"/>
  <c r="H62" i="1" s="1"/>
  <c r="G65" i="1"/>
  <c r="L64" i="1"/>
  <c r="D65" i="1" l="1"/>
  <c r="L63" i="1"/>
  <c r="D64" i="1"/>
  <c r="G62" i="1"/>
  <c r="G13" i="1"/>
  <c r="D13" i="1" s="1"/>
  <c r="G33" i="1"/>
  <c r="D33" i="1" s="1"/>
  <c r="L62" i="1" l="1"/>
  <c r="D63" i="1"/>
  <c r="D62" i="1" s="1"/>
  <c r="G61" i="1"/>
  <c r="H61" i="1"/>
  <c r="I61" i="1"/>
  <c r="L61" i="1"/>
  <c r="D61" i="1" l="1"/>
  <c r="G60" i="1"/>
  <c r="L60" i="1"/>
  <c r="L59" i="1" s="1"/>
  <c r="I60" i="1"/>
  <c r="I59" i="1" s="1"/>
  <c r="H60" i="1"/>
  <c r="H59" i="1" l="1"/>
  <c r="H52" i="1"/>
  <c r="D60" i="1"/>
  <c r="G59" i="1"/>
  <c r="G52" i="1"/>
  <c r="G51" i="1" l="1"/>
  <c r="D59" i="1"/>
  <c r="F53" i="1"/>
  <c r="G53" i="1"/>
  <c r="H53" i="1"/>
  <c r="I53" i="1"/>
  <c r="L53" i="1"/>
  <c r="E53" i="1"/>
  <c r="F52" i="1"/>
  <c r="I52" i="1"/>
  <c r="L52" i="1"/>
  <c r="E52" i="1"/>
  <c r="F51" i="1"/>
  <c r="H51" i="1"/>
  <c r="I51" i="1"/>
  <c r="L51" i="1"/>
  <c r="E51" i="1"/>
  <c r="G58" i="1"/>
  <c r="H58" i="1"/>
  <c r="I58" i="1"/>
  <c r="L58" i="1"/>
  <c r="E54" i="1"/>
  <c r="F54" i="1"/>
  <c r="H54" i="1"/>
  <c r="L54" i="1"/>
  <c r="G54" i="1"/>
  <c r="F50" i="1" l="1"/>
  <c r="D51" i="1"/>
  <c r="D54" i="1"/>
  <c r="D58" i="1"/>
  <c r="D52" i="1"/>
  <c r="D53" i="1"/>
  <c r="G50" i="1"/>
  <c r="E50" i="1"/>
  <c r="G9" i="1"/>
  <c r="H17" i="1"/>
  <c r="H12" i="1" s="1"/>
  <c r="I17" i="1"/>
  <c r="I12" i="1" s="1"/>
  <c r="L17" i="1"/>
  <c r="G17" i="1"/>
  <c r="D17" i="1" l="1"/>
  <c r="I11" i="1"/>
  <c r="H11" i="1"/>
  <c r="E24" i="1" l="1"/>
  <c r="G39" i="1" l="1"/>
  <c r="L12" i="1"/>
  <c r="L11" i="1" l="1"/>
  <c r="F14" i="1"/>
  <c r="G14" i="1"/>
  <c r="G12" i="1" s="1"/>
  <c r="L50" i="1"/>
  <c r="I50" i="1"/>
  <c r="H50" i="1"/>
  <c r="D50" i="1" l="1"/>
  <c r="G11" i="1"/>
  <c r="F9" i="1"/>
  <c r="G10" i="1"/>
  <c r="H10" i="1"/>
  <c r="I10" i="1"/>
  <c r="L10" i="1"/>
  <c r="H9" i="1"/>
  <c r="I9" i="1"/>
  <c r="L9" i="1"/>
  <c r="F10" i="1"/>
  <c r="E10" i="1"/>
  <c r="E9" i="1"/>
  <c r="L46" i="1"/>
  <c r="I46" i="1"/>
  <c r="H46" i="1"/>
  <c r="D9" i="1" l="1"/>
  <c r="D10" i="1"/>
  <c r="E14" i="1"/>
  <c r="F24" i="1"/>
  <c r="L43" i="1"/>
  <c r="I43" i="1"/>
  <c r="H43" i="1"/>
  <c r="G43" i="1"/>
  <c r="G36" i="1" s="1"/>
  <c r="G8" i="1" s="1"/>
  <c r="G7" i="1" s="1"/>
  <c r="F43" i="1"/>
  <c r="F39" i="1"/>
  <c r="E39" i="1"/>
  <c r="E43" i="1"/>
  <c r="D43" i="1" l="1"/>
  <c r="F12" i="1"/>
  <c r="F11" i="1" s="1"/>
  <c r="D24" i="1"/>
  <c r="D39" i="1"/>
  <c r="E12" i="1"/>
  <c r="E11" i="1" s="1"/>
  <c r="D14" i="1"/>
  <c r="L36" i="1"/>
  <c r="L8" i="1" s="1"/>
  <c r="H36" i="1"/>
  <c r="H8" i="1" s="1"/>
  <c r="F36" i="1"/>
  <c r="I36" i="1"/>
  <c r="D11" i="1" l="1"/>
  <c r="F8" i="1"/>
  <c r="D12" i="1"/>
  <c r="I8" i="1"/>
  <c r="I7" i="1" s="1"/>
  <c r="H7" i="1"/>
  <c r="E36" i="1"/>
  <c r="E8" i="1" l="1"/>
  <c r="D8" i="1" s="1"/>
  <c r="D36" i="1"/>
  <c r="L7" i="1"/>
  <c r="E7" i="1" l="1"/>
  <c r="F7" i="1"/>
  <c r="D7" i="1" s="1"/>
</calcChain>
</file>

<file path=xl/sharedStrings.xml><?xml version="1.0" encoding="utf-8"?>
<sst xmlns="http://schemas.openxmlformats.org/spreadsheetml/2006/main" count="128" uniqueCount="64">
  <si>
    <t>Источник финансирования</t>
  </si>
  <si>
    <t>Общий объем финансирования, руб.</t>
  </si>
  <si>
    <t>2019 год</t>
  </si>
  <si>
    <t>Местный бюджет</t>
  </si>
  <si>
    <t>Мероприятие 1.3.1 «Организация праздников, семинаров, форумов, конкурсов для творческой молодежи»</t>
  </si>
  <si>
    <t>Мероприятие 1.3.3 «Участие победителей городских конкурсов, спортивных соревнований в областных мероприятиях»</t>
  </si>
  <si>
    <t>Мероприятие 1.3.6 «Проведение городских мероприятий, конкурсов, акций депутатами Молодёжного парламента при Думе города Усолье-Сибирское»</t>
  </si>
  <si>
    <t>Основное мероприятие 2.1 «Наружная социальная реклама о доступных мерах профилактики наркомании"</t>
  </si>
  <si>
    <t>Мероприятие 1.1.1 «Проведение ярмарки профессиональных образовательных организаций «Я выбираю будущее!»</t>
  </si>
  <si>
    <t>2020  год</t>
  </si>
  <si>
    <t>2021 год</t>
  </si>
  <si>
    <t>2022 год</t>
  </si>
  <si>
    <t>2023 год</t>
  </si>
  <si>
    <t>2024 год</t>
  </si>
  <si>
    <t>Мероприятие 2.3.1 «Организация комплекса мероприятий (семинаров, тренингов, круглых столов и т.д.) по профилактике социально-негативных явлений среди обучающихся в образовательных организациях силами привлеченных исполнителей»</t>
  </si>
  <si>
    <t>Мероприятие 2.3.2 «Организация проведения акций, конкурсов, массовых мероприятий по профилактике социально-негативных явлений и социально-значимых заболеваний в подростковой и молодёжной среде»</t>
  </si>
  <si>
    <t>Основное мероприятие 2.4 «Развитие системы раннего выявления незаконных потребителей наркотиков (Вторичная профилактика)»</t>
  </si>
  <si>
    <t>Мероприятие 2.4.1 «Приобретение тест-систем на определение наркотиков в организме человека»</t>
  </si>
  <si>
    <t>Мероприятие 2.4.2 «Организация индивидуальной работы специалистами-психологами по оказанию адресной психологической помощи»</t>
  </si>
  <si>
    <t>Основное мероприятие 2.2 «Информирование населения города о первичных мерах профилактики наркомании»</t>
  </si>
  <si>
    <t>Всего:</t>
  </si>
  <si>
    <t>Областной бюджет</t>
  </si>
  <si>
    <t>Федеральный бюджет</t>
  </si>
  <si>
    <t>Наименование программы, подпрограммы, основного мероприятия, мероприятия, проекта</t>
  </si>
  <si>
    <t>Ответственный исполнитель Программы, соисполнители Программы, участники Программы, участники Подпрограммы</t>
  </si>
  <si>
    <t>Мероприятие 1.3.2 «Вручение стипендии мэра лучшим студентам учебных заведений города»</t>
  </si>
  <si>
    <t>Мероприятие 1.2.3 «Участие победителей городских конкурсов, спортивных соревнований в областных мероприятиях»</t>
  </si>
  <si>
    <t>Мероприятие 1.2.6 «Проведение городских мероприятий, конкурсов, акций депутатами Молодёжного парламента при Думе города Усолье-Сибирское»</t>
  </si>
  <si>
    <t>Основное мероприятие 4.2 «Предоставление молодым семьям - участникам Подпрограммы социальных выплат на мероприятия по улучшению жилищных условий» (Субсидии местным бюджетам на мероприятия по улучшению жилищных условий молодых семей)</t>
  </si>
  <si>
    <t xml:space="preserve">
Мэр города                                                                                                                                                                                                                            М.В. Торопкин</t>
  </si>
  <si>
    <t>Обласной бюджет</t>
  </si>
  <si>
    <t xml:space="preserve">Основное мероприятие 4.3 «Дополнительная социальная выплата за счет средств областного бюджета при рождении (усыновлении) ребенка» </t>
  </si>
  <si>
    <t xml:space="preserve">Основное мероприятие 1.3 «Проведение мероприятий для молодых семей. Оказание психологических и иных консультационных услуг»
</t>
  </si>
  <si>
    <t xml:space="preserve">Основное мероприятие 1.4 «Проведение мероприятий для молодых семей. Оказание психологических и иных консультационных услуг»
</t>
  </si>
  <si>
    <t xml:space="preserve">Основное мероприятие 1.4 «Создание благоприятных условий для всестороннего развития молодежи»
</t>
  </si>
  <si>
    <t>2025 год</t>
  </si>
  <si>
    <t>Отдел спорта и молодёжной политики управления по социально-культурным вопросам</t>
  </si>
  <si>
    <t>Объём финансирования, руб.</t>
  </si>
  <si>
    <t>Основное мероприятие 1.1 «Содействие профессиональной ориентации молодёжи»</t>
  </si>
  <si>
    <t>Мероприятие 1.2.1 «Организация праздников, семинаров, форумов, конкурсов для творческой молодёжи»</t>
  </si>
  <si>
    <t>Мероприятие 1.2.2 «Поддержка талантливой молодёжи города»</t>
  </si>
  <si>
    <t>Мероприятие 1.2.4 «Проведение торжественной церемонии посвящения в депутаты Молодёжного парламента при Думе города Усолье-Сибирское»</t>
  </si>
  <si>
    <t>Мероприятие 1.2.5 «Участие депутатов Молодёжного парламента при Думе города Усолье-Сибирское в летней городской спартакиаде»</t>
  </si>
  <si>
    <t>Мероприятие 1.3.5 «Участие депутатов Молодёжного парламента при Думе города Усолье-Сибирское в летней городской спартакиаде»</t>
  </si>
  <si>
    <t xml:space="preserve">Основное мероприятие 1.2 «Создание условий для содержательного досуга, развития эстетического воспитания и молодёжного творчества»
</t>
  </si>
  <si>
    <t xml:space="preserve">Основное мероприятие 1.3 «Создание условий для содержательного досуга, развития эстетического воспитания и молодёжного творчества»
</t>
  </si>
  <si>
    <t>Мероприятие 1.3.4 «Проведение торжественной церемонии посвящения в депутаты Молодёжного парламента при Думе города Усолье-Сибирское»</t>
  </si>
  <si>
    <t>Основное мероприятие 2.3 «Организация и проведение комплекса мероприятий по профилактике социально-негативных явлений для несовершеннолетних и молодёжи (Первичная профилактика)»</t>
  </si>
  <si>
    <t>Мероприятие 2.3.3 «Поддержка Антинаркотического волонтерского движения»</t>
  </si>
  <si>
    <t xml:space="preserve">Отдел спорта и молодёжной политики управления по социально-культурным вопросам администрации города </t>
  </si>
  <si>
    <t>2026 год</t>
  </si>
  <si>
    <t xml:space="preserve">Основное мероприятие 1.2. «Проведение городских мероприятий по вопросам гражданского, патриотического и духовно-нравственного воспитания»
</t>
  </si>
  <si>
    <t>Основное мероприятие 3.1 «Проведение городских мероприятий по вопросам гражданского, патриотического и духовно-нравственного воспитания»</t>
  </si>
  <si>
    <t>Основное мероприятие 3.2 «Проведение мероприятий допризывной подготовки молодежи»</t>
  </si>
  <si>
    <t>Основное мероприятие 3.3 «Проведение мероприятий для детей и молодежи по профилактике экстремизма»</t>
  </si>
  <si>
    <t>Основное мероприятие 4.1 «Предоставление молодым семьям - участникам подпрограммы  социальных выплат на приобретение (строительство) жилья»</t>
  </si>
  <si>
    <t>2027 год</t>
  </si>
  <si>
    <t>Муниципальная программа «Молодёжная политика» на 2019-2027 годы</t>
  </si>
  <si>
    <t>Подпрограмма 1 «Молодёжь города Усолье-Сибирское» на 2019-2027 годы</t>
  </si>
  <si>
    <t>Подпрограмма 3 «Военно-патриотическое воспитание молодёжи» на 2021-2027 годы</t>
  </si>
  <si>
    <t>Подпрограмма 2  «Комплексные меры профилактики злоупотребления наркотическими средствами и психотропными веществами» на 2019-2027 годы</t>
  </si>
  <si>
    <t>Ресурсное обеспечение реализации муниципальной программы города Усолье-Сибирское «Молодёжная политика» на 2019-2027 годы</t>
  </si>
  <si>
    <t>Подпрограмма 4 «Обеспечение жильем молодых семей» на 2021-2027 годы</t>
  </si>
  <si>
    <t>Приложение 2 
к постановлению администрации города Усолье-Сибирское от 26.12.2025 №2444-па  
Приложение 3  
к муниципальной программе 
города Усолье-Сибирское «Молодёжная политика» на 2019-2027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</si>
</sst>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2" fontId="0" fillId="3" borderId="0" xfId="0" applyNumberFormat="1" applyFill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7"/>
  <sheetViews>
    <sheetView tabSelected="1" view="pageBreakPreview" zoomScale="115" zoomScaleNormal="100" zoomScaleSheetLayoutView="115" workbookViewId="0">
      <selection sqref="A1:M1"/>
    </sheetView>
  </sheetViews>
  <sheetFormatPr defaultRowHeight="14.4" x14ac:dyDescent="0.3"/>
  <cols>
    <col min="1" max="1" width="31.88671875" customWidth="1"/>
    <col min="2" max="2" width="26.88671875" customWidth="1"/>
    <col min="3" max="3" width="23.109375" customWidth="1"/>
    <col min="4" max="4" width="17.44140625" style="1" customWidth="1"/>
    <col min="5" max="5" width="16.33203125" style="1" customWidth="1"/>
    <col min="6" max="6" width="14.5546875" style="4" customWidth="1"/>
    <col min="7" max="7" width="15.5546875" style="4" customWidth="1"/>
    <col min="8" max="8" width="16" style="1" customWidth="1"/>
    <col min="9" max="11" width="14.5546875" style="1" customWidth="1"/>
    <col min="12" max="12" width="15.109375" style="1" customWidth="1"/>
    <col min="13" max="13" width="14.109375" style="26" customWidth="1"/>
  </cols>
  <sheetData>
    <row r="1" spans="1:13" ht="106.5" customHeight="1" x14ac:dyDescent="0.3">
      <c r="A1" s="49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3" customFormat="1" ht="26.4" customHeight="1" x14ac:dyDescent="0.2">
      <c r="A2" s="50" t="s">
        <v>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3" customFormat="1" ht="33" customHeight="1" x14ac:dyDescent="0.2">
      <c r="A3" s="39" t="s">
        <v>23</v>
      </c>
      <c r="B3" s="38" t="s">
        <v>24</v>
      </c>
      <c r="C3" s="39" t="s">
        <v>0</v>
      </c>
      <c r="D3" s="41" t="s">
        <v>1</v>
      </c>
      <c r="E3" s="41" t="s">
        <v>37</v>
      </c>
      <c r="F3" s="41"/>
      <c r="G3" s="41"/>
      <c r="H3" s="41"/>
      <c r="I3" s="41"/>
      <c r="J3" s="41"/>
      <c r="K3" s="41"/>
      <c r="L3" s="41"/>
      <c r="M3" s="41"/>
    </row>
    <row r="4" spans="1:13" s="3" customFormat="1" ht="18.75" customHeight="1" x14ac:dyDescent="0.2">
      <c r="A4" s="39"/>
      <c r="B4" s="38"/>
      <c r="C4" s="39"/>
      <c r="D4" s="41"/>
      <c r="E4" s="40" t="s">
        <v>2</v>
      </c>
      <c r="F4" s="54" t="s">
        <v>9</v>
      </c>
      <c r="G4" s="54" t="s">
        <v>10</v>
      </c>
      <c r="H4" s="40" t="s">
        <v>11</v>
      </c>
      <c r="I4" s="40" t="s">
        <v>12</v>
      </c>
      <c r="J4" s="40" t="s">
        <v>13</v>
      </c>
      <c r="K4" s="40" t="s">
        <v>35</v>
      </c>
      <c r="L4" s="40" t="s">
        <v>50</v>
      </c>
      <c r="M4" s="40" t="s">
        <v>56</v>
      </c>
    </row>
    <row r="5" spans="1:13" s="3" customFormat="1" ht="29.25" customHeight="1" x14ac:dyDescent="0.2">
      <c r="A5" s="39"/>
      <c r="B5" s="38"/>
      <c r="C5" s="39"/>
      <c r="D5" s="41"/>
      <c r="E5" s="40"/>
      <c r="F5" s="54"/>
      <c r="G5" s="54"/>
      <c r="H5" s="40"/>
      <c r="I5" s="40"/>
      <c r="J5" s="40"/>
      <c r="K5" s="40"/>
      <c r="L5" s="40"/>
      <c r="M5" s="40"/>
    </row>
    <row r="6" spans="1:13" s="3" customFormat="1" ht="13.8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6">
        <v>6</v>
      </c>
      <c r="G6" s="6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32">
        <v>13</v>
      </c>
    </row>
    <row r="7" spans="1:13" s="3" customFormat="1" ht="20.25" customHeight="1" x14ac:dyDescent="0.2">
      <c r="A7" s="44" t="s">
        <v>57</v>
      </c>
      <c r="B7" s="44" t="s">
        <v>36</v>
      </c>
      <c r="C7" s="7" t="s">
        <v>20</v>
      </c>
      <c r="D7" s="8">
        <f>SUM(E7:M7)</f>
        <v>114888256.92</v>
      </c>
      <c r="E7" s="8">
        <f t="shared" ref="E7:M7" si="0">SUM(E8:E10)</f>
        <v>447243.25</v>
      </c>
      <c r="F7" s="10">
        <f t="shared" si="0"/>
        <v>326648.63</v>
      </c>
      <c r="G7" s="10">
        <f>SUM(G8:G10)</f>
        <v>17272509.18</v>
      </c>
      <c r="H7" s="8">
        <f t="shared" si="0"/>
        <v>23575860.030000001</v>
      </c>
      <c r="I7" s="8">
        <f>SUM(I8:I10)</f>
        <v>23595555.66</v>
      </c>
      <c r="J7" s="8">
        <f>SUM(J8:J10)</f>
        <v>17976223.920000002</v>
      </c>
      <c r="K7" s="8">
        <f t="shared" ref="K7" si="1">SUM(K8:K10)</f>
        <v>17914036.030000001</v>
      </c>
      <c r="L7" s="8">
        <f t="shared" si="0"/>
        <v>6890090.1099999994</v>
      </c>
      <c r="M7" s="8">
        <f t="shared" si="0"/>
        <v>6890090.1099999994</v>
      </c>
    </row>
    <row r="8" spans="1:13" s="3" customFormat="1" ht="20.25" customHeight="1" x14ac:dyDescent="0.2">
      <c r="A8" s="44"/>
      <c r="B8" s="44"/>
      <c r="C8" s="7" t="s">
        <v>3</v>
      </c>
      <c r="D8" s="8">
        <f>SUM(E8:M8)</f>
        <v>45332099.100000001</v>
      </c>
      <c r="E8" s="9">
        <f>SUM(E12+E36+E46+E51)</f>
        <v>447243.25</v>
      </c>
      <c r="F8" s="9">
        <f>SUM(F12+F36+F46+F51)</f>
        <v>326648.63</v>
      </c>
      <c r="G8" s="33">
        <f>SUM(G12+G36+G46+G51)</f>
        <v>4783992.3100000005</v>
      </c>
      <c r="H8" s="9">
        <f t="shared" ref="H8" si="2">SUM(H12+H36+H46+H51)</f>
        <v>5790090.1100000003</v>
      </c>
      <c r="I8" s="9">
        <f>SUM(I12+I36+I46+I51)</f>
        <v>7060327.580000001</v>
      </c>
      <c r="J8" s="9">
        <f>SUM(J12+J36+J46+J51)</f>
        <v>6843667.9000000004</v>
      </c>
      <c r="K8" s="9">
        <f>SUM(K12+K36+K46+K51)</f>
        <v>6299949.0999999996</v>
      </c>
      <c r="L8" s="9">
        <f>SUM(L12+L36+L46+L51)</f>
        <v>6890090.1099999994</v>
      </c>
      <c r="M8" s="9">
        <f>SUM(M12+M36+M46+M51)</f>
        <v>6890090.1099999994</v>
      </c>
    </row>
    <row r="9" spans="1:13" s="3" customFormat="1" ht="20.25" customHeight="1" x14ac:dyDescent="0.2">
      <c r="A9" s="44"/>
      <c r="B9" s="44"/>
      <c r="C9" s="7" t="s">
        <v>21</v>
      </c>
      <c r="D9" s="8">
        <f>SUM(E9:M9)</f>
        <v>52293566.340000004</v>
      </c>
      <c r="E9" s="8">
        <f>SUM(E52)</f>
        <v>0</v>
      </c>
      <c r="F9" s="10">
        <f>SUM(F52)</f>
        <v>0</v>
      </c>
      <c r="G9" s="10">
        <f>SUM(G35+G52)</f>
        <v>7951812.4699999997</v>
      </c>
      <c r="H9" s="8">
        <f t="shared" ref="H9:M9" si="3">SUM(H52)</f>
        <v>13184799.49</v>
      </c>
      <c r="I9" s="8">
        <f t="shared" si="3"/>
        <v>12646339.25</v>
      </c>
      <c r="J9" s="8">
        <f t="shared" si="3"/>
        <v>8938622.1300000008</v>
      </c>
      <c r="K9" s="8">
        <f t="shared" si="3"/>
        <v>9571993</v>
      </c>
      <c r="L9" s="8">
        <f t="shared" si="3"/>
        <v>0</v>
      </c>
      <c r="M9" s="8">
        <f t="shared" si="3"/>
        <v>0</v>
      </c>
    </row>
    <row r="10" spans="1:13" s="3" customFormat="1" ht="20.25" customHeight="1" x14ac:dyDescent="0.2">
      <c r="A10" s="44"/>
      <c r="B10" s="44"/>
      <c r="C10" s="7" t="s">
        <v>22</v>
      </c>
      <c r="D10" s="8">
        <f t="shared" ref="D10:D13" si="4">SUM(E10:M10)</f>
        <v>17262591.48</v>
      </c>
      <c r="E10" s="8">
        <f>SUM(E53)</f>
        <v>0</v>
      </c>
      <c r="F10" s="10">
        <f>SUM(F53)</f>
        <v>0</v>
      </c>
      <c r="G10" s="10">
        <f t="shared" ref="G10:M10" si="5">SUM(G53)</f>
        <v>4536704.4000000004</v>
      </c>
      <c r="H10" s="8">
        <f t="shared" si="5"/>
        <v>4600970.43</v>
      </c>
      <c r="I10" s="8">
        <f t="shared" si="5"/>
        <v>3888888.8299999996</v>
      </c>
      <c r="J10" s="8">
        <f t="shared" ref="J10:K10" si="6">SUM(J53)</f>
        <v>2193933.89</v>
      </c>
      <c r="K10" s="8">
        <f t="shared" si="6"/>
        <v>2042093.93</v>
      </c>
      <c r="L10" s="8">
        <f t="shared" si="5"/>
        <v>0</v>
      </c>
      <c r="M10" s="8">
        <f t="shared" si="5"/>
        <v>0</v>
      </c>
    </row>
    <row r="11" spans="1:13" s="3" customFormat="1" ht="20.25" customHeight="1" x14ac:dyDescent="0.2">
      <c r="A11" s="44" t="s">
        <v>58</v>
      </c>
      <c r="B11" s="44" t="s">
        <v>36</v>
      </c>
      <c r="C11" s="7" t="s">
        <v>20</v>
      </c>
      <c r="D11" s="8">
        <f t="shared" si="4"/>
        <v>1372555.17</v>
      </c>
      <c r="E11" s="8">
        <f t="shared" ref="E11:M11" si="7">SUM(E12:E13)</f>
        <v>307971.25</v>
      </c>
      <c r="F11" s="8">
        <f t="shared" si="7"/>
        <v>219744.28</v>
      </c>
      <c r="G11" s="10">
        <f t="shared" si="7"/>
        <v>275685.92</v>
      </c>
      <c r="H11" s="8">
        <f t="shared" si="7"/>
        <v>96052</v>
      </c>
      <c r="I11" s="8">
        <f t="shared" si="7"/>
        <v>98139.540000000008</v>
      </c>
      <c r="J11" s="8">
        <f t="shared" ref="J11" si="8">SUM(J12:J13)</f>
        <v>87667.64</v>
      </c>
      <c r="K11" s="8">
        <f t="shared" ref="K11" si="9">SUM(K12:K13)</f>
        <v>95390.540000000008</v>
      </c>
      <c r="L11" s="8">
        <f t="shared" si="7"/>
        <v>95952</v>
      </c>
      <c r="M11" s="8">
        <f t="shared" si="7"/>
        <v>95952</v>
      </c>
    </row>
    <row r="12" spans="1:13" s="3" customFormat="1" ht="20.25" customHeight="1" x14ac:dyDescent="0.2">
      <c r="A12" s="44"/>
      <c r="B12" s="44"/>
      <c r="C12" s="7" t="s">
        <v>3</v>
      </c>
      <c r="D12" s="8">
        <f t="shared" si="4"/>
        <v>1178989.1700000002</v>
      </c>
      <c r="E12" s="8">
        <f>SUM(E14+E16+E17+E24+E31+E32)</f>
        <v>307971.25</v>
      </c>
      <c r="F12" s="8">
        <f>SUM(F14+F16+F24+F31+F32)</f>
        <v>219744.28</v>
      </c>
      <c r="G12" s="10">
        <f>SUM(G14+G16+G17+G24+G31+G32+G34)</f>
        <v>82119.92</v>
      </c>
      <c r="H12" s="8">
        <f>SUM(H14+H16+H17+H24+H31+H32+H34)</f>
        <v>96052</v>
      </c>
      <c r="I12" s="8">
        <f t="shared" ref="I12:M12" si="10">SUM(I14+I16+I17+I24+I31+I32+I34)</f>
        <v>98139.540000000008</v>
      </c>
      <c r="J12" s="8">
        <f t="shared" ref="J12:K12" si="11">SUM(J14+J16+J17+J24+J31+J32+J34)</f>
        <v>87667.64</v>
      </c>
      <c r="K12" s="8">
        <f t="shared" si="11"/>
        <v>95390.540000000008</v>
      </c>
      <c r="L12" s="8">
        <f t="shared" si="10"/>
        <v>95952</v>
      </c>
      <c r="M12" s="8">
        <f t="shared" si="10"/>
        <v>95952</v>
      </c>
    </row>
    <row r="13" spans="1:13" s="3" customFormat="1" ht="20.399999999999999" customHeight="1" x14ac:dyDescent="0.2">
      <c r="A13" s="44"/>
      <c r="B13" s="44"/>
      <c r="C13" s="7" t="s">
        <v>21</v>
      </c>
      <c r="D13" s="8">
        <f t="shared" si="4"/>
        <v>193566</v>
      </c>
      <c r="E13" s="8">
        <v>0</v>
      </c>
      <c r="F13" s="10">
        <v>0</v>
      </c>
      <c r="G13" s="10">
        <f>SUM(G35)</f>
        <v>193566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s="3" customFormat="1" ht="60" customHeight="1" x14ac:dyDescent="0.2">
      <c r="A14" s="12" t="s">
        <v>38</v>
      </c>
      <c r="B14" s="12" t="s">
        <v>36</v>
      </c>
      <c r="C14" s="5" t="s">
        <v>3</v>
      </c>
      <c r="D14" s="13">
        <f>E14+F14+G14+H14+I14+L14+J14+K14+M14</f>
        <v>7437.5</v>
      </c>
      <c r="E14" s="13">
        <f t="shared" ref="E14" si="12">E15</f>
        <v>1700</v>
      </c>
      <c r="F14" s="17">
        <f>SUM(F15)</f>
        <v>0</v>
      </c>
      <c r="G14" s="17">
        <f>SUM(G15)</f>
        <v>1000</v>
      </c>
      <c r="H14" s="13">
        <f>H15</f>
        <v>2500</v>
      </c>
      <c r="I14" s="13">
        <f>I15</f>
        <v>2237.5</v>
      </c>
      <c r="J14" s="13">
        <f>J15</f>
        <v>0</v>
      </c>
      <c r="K14" s="13">
        <v>0</v>
      </c>
      <c r="L14" s="13">
        <v>0</v>
      </c>
      <c r="M14" s="13">
        <v>0</v>
      </c>
    </row>
    <row r="15" spans="1:13" s="3" customFormat="1" ht="60" customHeight="1" x14ac:dyDescent="0.2">
      <c r="A15" s="12" t="s">
        <v>8</v>
      </c>
      <c r="B15" s="12" t="s">
        <v>36</v>
      </c>
      <c r="C15" s="5" t="s">
        <v>3</v>
      </c>
      <c r="D15" s="14">
        <f>E15+F15+G15+H15+I15+L15+J15+K15+M15</f>
        <v>7437.5</v>
      </c>
      <c r="E15" s="14">
        <v>1700</v>
      </c>
      <c r="F15" s="19">
        <v>0</v>
      </c>
      <c r="G15" s="19">
        <v>1000</v>
      </c>
      <c r="H15" s="14">
        <v>2500</v>
      </c>
      <c r="I15" s="14">
        <v>2237.5</v>
      </c>
      <c r="J15" s="14">
        <v>0</v>
      </c>
      <c r="K15" s="14">
        <v>0</v>
      </c>
      <c r="L15" s="14">
        <v>0</v>
      </c>
      <c r="M15" s="14">
        <v>0</v>
      </c>
    </row>
    <row r="16" spans="1:13" s="3" customFormat="1" ht="94.5" customHeight="1" x14ac:dyDescent="0.2">
      <c r="A16" s="37" t="s">
        <v>51</v>
      </c>
      <c r="B16" s="15" t="s">
        <v>36</v>
      </c>
      <c r="C16" s="16" t="s">
        <v>3</v>
      </c>
      <c r="D16" s="30">
        <f t="shared" ref="D16:D35" si="13">SUM(E16:M16)</f>
        <v>79330.91</v>
      </c>
      <c r="E16" s="30">
        <v>50750</v>
      </c>
      <c r="F16" s="31">
        <v>28580.91</v>
      </c>
      <c r="G16" s="17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</row>
    <row r="17" spans="1:13" s="3" customFormat="1" ht="94.5" customHeight="1" x14ac:dyDescent="0.2">
      <c r="A17" s="37" t="s">
        <v>44</v>
      </c>
      <c r="B17" s="15" t="s">
        <v>36</v>
      </c>
      <c r="C17" s="16" t="s">
        <v>3</v>
      </c>
      <c r="D17" s="13">
        <f t="shared" si="13"/>
        <v>506227.81000000006</v>
      </c>
      <c r="E17" s="13">
        <v>0</v>
      </c>
      <c r="F17" s="17">
        <v>0</v>
      </c>
      <c r="G17" s="17">
        <f>SUM(G18:G23)</f>
        <v>46523.59</v>
      </c>
      <c r="H17" s="13">
        <f t="shared" ref="H17:M17" si="14">SUM(H18:H23)</f>
        <v>76100</v>
      </c>
      <c r="I17" s="13">
        <f t="shared" si="14"/>
        <v>78450.040000000008</v>
      </c>
      <c r="J17" s="13">
        <f t="shared" ref="J17:K17" si="15">SUM(J18:J23)</f>
        <v>70215.64</v>
      </c>
      <c r="K17" s="13">
        <f t="shared" si="15"/>
        <v>77938.540000000008</v>
      </c>
      <c r="L17" s="13">
        <f t="shared" si="14"/>
        <v>78500</v>
      </c>
      <c r="M17" s="13">
        <f t="shared" si="14"/>
        <v>78500</v>
      </c>
    </row>
    <row r="18" spans="1:13" s="3" customFormat="1" ht="60" customHeight="1" x14ac:dyDescent="0.2">
      <c r="A18" s="12" t="s">
        <v>39</v>
      </c>
      <c r="B18" s="39" t="s">
        <v>36</v>
      </c>
      <c r="C18" s="5" t="s">
        <v>3</v>
      </c>
      <c r="D18" s="24">
        <f t="shared" si="13"/>
        <v>11523.59</v>
      </c>
      <c r="E18" s="2">
        <v>0</v>
      </c>
      <c r="F18" s="2">
        <v>0</v>
      </c>
      <c r="G18" s="19">
        <v>11523.59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s="3" customFormat="1" ht="43.5" customHeight="1" x14ac:dyDescent="0.2">
      <c r="A19" s="12" t="s">
        <v>40</v>
      </c>
      <c r="B19" s="39"/>
      <c r="C19" s="5" t="s">
        <v>3</v>
      </c>
      <c r="D19" s="14">
        <f t="shared" si="13"/>
        <v>446993.38</v>
      </c>
      <c r="E19" s="2">
        <v>0</v>
      </c>
      <c r="F19" s="2">
        <v>0</v>
      </c>
      <c r="G19" s="19">
        <v>35000</v>
      </c>
      <c r="H19" s="14">
        <v>70000</v>
      </c>
      <c r="I19" s="14">
        <v>69958.3</v>
      </c>
      <c r="J19" s="14">
        <v>62085.84</v>
      </c>
      <c r="K19" s="14">
        <f>70000-50.76</f>
        <v>69949.240000000005</v>
      </c>
      <c r="L19" s="14">
        <v>70000</v>
      </c>
      <c r="M19" s="14">
        <v>70000</v>
      </c>
    </row>
    <row r="20" spans="1:13" s="3" customFormat="1" ht="73.95" customHeight="1" x14ac:dyDescent="0.2">
      <c r="A20" s="12" t="s">
        <v>26</v>
      </c>
      <c r="B20" s="39"/>
      <c r="C20" s="5" t="s">
        <v>3</v>
      </c>
      <c r="D20" s="14">
        <f t="shared" si="13"/>
        <v>0</v>
      </c>
      <c r="E20" s="2">
        <v>0</v>
      </c>
      <c r="F20" s="2">
        <v>0</v>
      </c>
      <c r="G20" s="19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s="3" customFormat="1" ht="78.75" customHeight="1" x14ac:dyDescent="0.2">
      <c r="A21" s="12" t="s">
        <v>41</v>
      </c>
      <c r="B21" s="39"/>
      <c r="C21" s="5" t="s">
        <v>3</v>
      </c>
      <c r="D21" s="14">
        <f t="shared" si="13"/>
        <v>0</v>
      </c>
      <c r="E21" s="2">
        <v>0</v>
      </c>
      <c r="F21" s="2">
        <v>0</v>
      </c>
      <c r="G21" s="19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s="3" customFormat="1" ht="84.6" customHeight="1" x14ac:dyDescent="0.2">
      <c r="A22" s="12" t="s">
        <v>42</v>
      </c>
      <c r="B22" s="39"/>
      <c r="C22" s="5" t="s">
        <v>3</v>
      </c>
      <c r="D22" s="14">
        <f t="shared" si="13"/>
        <v>0</v>
      </c>
      <c r="E22" s="14">
        <v>0</v>
      </c>
      <c r="F22" s="14">
        <v>0</v>
      </c>
      <c r="G22" s="19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s="3" customFormat="1" ht="78.599999999999994" customHeight="1" x14ac:dyDescent="0.2">
      <c r="A23" s="12" t="s">
        <v>27</v>
      </c>
      <c r="B23" s="39"/>
      <c r="C23" s="5" t="s">
        <v>3</v>
      </c>
      <c r="D23" s="24">
        <f t="shared" si="13"/>
        <v>47710.84</v>
      </c>
      <c r="E23" s="14">
        <v>0</v>
      </c>
      <c r="F23" s="14">
        <v>0</v>
      </c>
      <c r="G23" s="19">
        <v>0</v>
      </c>
      <c r="H23" s="14">
        <v>6100</v>
      </c>
      <c r="I23" s="14">
        <v>8491.74</v>
      </c>
      <c r="J23" s="14">
        <v>8129.8</v>
      </c>
      <c r="K23" s="14">
        <f>8500-510.7</f>
        <v>7989.3</v>
      </c>
      <c r="L23" s="14">
        <v>8500</v>
      </c>
      <c r="M23" s="14">
        <v>8500</v>
      </c>
    </row>
    <row r="24" spans="1:13" s="3" customFormat="1" ht="96" customHeight="1" x14ac:dyDescent="0.2">
      <c r="A24" s="37" t="s">
        <v>45</v>
      </c>
      <c r="B24" s="15" t="s">
        <v>36</v>
      </c>
      <c r="C24" s="52" t="s">
        <v>3</v>
      </c>
      <c r="D24" s="13">
        <f t="shared" si="13"/>
        <v>421595.62</v>
      </c>
      <c r="E24" s="13">
        <f>SUM(E25:E30)</f>
        <v>230432.25</v>
      </c>
      <c r="F24" s="17">
        <f>F25+F26+F27+F28+F29+F30</f>
        <v>191163.37</v>
      </c>
      <c r="G24" s="17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</row>
    <row r="25" spans="1:13" s="3" customFormat="1" ht="62.4" customHeight="1" x14ac:dyDescent="0.2">
      <c r="A25" s="12" t="s">
        <v>4</v>
      </c>
      <c r="B25" s="39" t="s">
        <v>36</v>
      </c>
      <c r="C25" s="52"/>
      <c r="D25" s="14">
        <f t="shared" si="13"/>
        <v>198370.1</v>
      </c>
      <c r="E25" s="14">
        <v>76241.97</v>
      </c>
      <c r="F25" s="19">
        <v>122128.13</v>
      </c>
      <c r="G25" s="21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s="3" customFormat="1" ht="60" customHeight="1" x14ac:dyDescent="0.2">
      <c r="A26" s="12" t="s">
        <v>25</v>
      </c>
      <c r="B26" s="39"/>
      <c r="C26" s="52"/>
      <c r="D26" s="18">
        <f t="shared" si="13"/>
        <v>75229</v>
      </c>
      <c r="E26" s="18">
        <v>40229</v>
      </c>
      <c r="F26" s="34">
        <v>35000</v>
      </c>
      <c r="G26" s="21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</row>
    <row r="27" spans="1:13" s="3" customFormat="1" ht="81" customHeight="1" x14ac:dyDescent="0.2">
      <c r="A27" s="12" t="s">
        <v>5</v>
      </c>
      <c r="B27" s="39"/>
      <c r="C27" s="52"/>
      <c r="D27" s="14">
        <f t="shared" si="13"/>
        <v>30706.989999999998</v>
      </c>
      <c r="E27" s="14">
        <v>18760</v>
      </c>
      <c r="F27" s="19">
        <v>11946.99</v>
      </c>
      <c r="G27" s="21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</row>
    <row r="28" spans="1:13" s="3" customFormat="1" ht="87.6" customHeight="1" x14ac:dyDescent="0.2">
      <c r="A28" s="12" t="s">
        <v>46</v>
      </c>
      <c r="B28" s="39"/>
      <c r="C28" s="52"/>
      <c r="D28" s="14">
        <f t="shared" si="13"/>
        <v>0</v>
      </c>
      <c r="E28" s="14">
        <v>0</v>
      </c>
      <c r="F28" s="19">
        <v>0</v>
      </c>
      <c r="G28" s="21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</row>
    <row r="29" spans="1:13" s="3" customFormat="1" ht="77.400000000000006" customHeight="1" x14ac:dyDescent="0.2">
      <c r="A29" s="12" t="s">
        <v>43</v>
      </c>
      <c r="B29" s="39"/>
      <c r="C29" s="52"/>
      <c r="D29" s="14">
        <f t="shared" si="13"/>
        <v>2740</v>
      </c>
      <c r="E29" s="14">
        <v>2740</v>
      </c>
      <c r="F29" s="19">
        <v>0</v>
      </c>
      <c r="G29" s="21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</row>
    <row r="30" spans="1:13" s="3" customFormat="1" ht="75.599999999999994" customHeight="1" x14ac:dyDescent="0.2">
      <c r="A30" s="12" t="s">
        <v>6</v>
      </c>
      <c r="B30" s="39"/>
      <c r="C30" s="52"/>
      <c r="D30" s="14">
        <f t="shared" si="13"/>
        <v>114549.53</v>
      </c>
      <c r="E30" s="14">
        <v>92461.28</v>
      </c>
      <c r="F30" s="19">
        <v>22088.25</v>
      </c>
      <c r="G30" s="21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</row>
    <row r="31" spans="1:13" s="3" customFormat="1" ht="81" customHeight="1" x14ac:dyDescent="0.2">
      <c r="A31" s="37" t="s">
        <v>32</v>
      </c>
      <c r="B31" s="15" t="s">
        <v>36</v>
      </c>
      <c r="C31" s="7" t="s">
        <v>3</v>
      </c>
      <c r="D31" s="13">
        <f t="shared" si="13"/>
        <v>117801</v>
      </c>
      <c r="E31" s="13">
        <v>0</v>
      </c>
      <c r="F31" s="13">
        <v>0</v>
      </c>
      <c r="G31" s="17">
        <v>13089</v>
      </c>
      <c r="H31" s="17">
        <v>17452</v>
      </c>
      <c r="I31" s="13">
        <v>17452</v>
      </c>
      <c r="J31" s="17">
        <v>17452</v>
      </c>
      <c r="K31" s="13">
        <v>17452</v>
      </c>
      <c r="L31" s="17">
        <v>17452</v>
      </c>
      <c r="M31" s="17">
        <v>17452</v>
      </c>
    </row>
    <row r="32" spans="1:13" s="3" customFormat="1" ht="81" customHeight="1" x14ac:dyDescent="0.2">
      <c r="A32" s="37" t="s">
        <v>33</v>
      </c>
      <c r="B32" s="15" t="s">
        <v>36</v>
      </c>
      <c r="C32" s="7" t="s">
        <v>3</v>
      </c>
      <c r="D32" s="13">
        <f t="shared" si="13"/>
        <v>25089</v>
      </c>
      <c r="E32" s="13">
        <v>25089</v>
      </c>
      <c r="F32" s="17">
        <v>0</v>
      </c>
      <c r="G32" s="17">
        <v>0</v>
      </c>
      <c r="H32" s="17">
        <v>0</v>
      </c>
      <c r="I32" s="13">
        <v>0</v>
      </c>
      <c r="J32" s="17">
        <v>0</v>
      </c>
      <c r="K32" s="13">
        <v>0</v>
      </c>
      <c r="L32" s="17">
        <v>0</v>
      </c>
      <c r="M32" s="17">
        <v>0</v>
      </c>
    </row>
    <row r="33" spans="1:13" s="3" customFormat="1" ht="21" customHeight="1" x14ac:dyDescent="0.2">
      <c r="A33" s="46" t="s">
        <v>34</v>
      </c>
      <c r="B33" s="43" t="s">
        <v>36</v>
      </c>
      <c r="C33" s="7" t="s">
        <v>20</v>
      </c>
      <c r="D33" s="13">
        <f t="shared" si="13"/>
        <v>215073.33000000002</v>
      </c>
      <c r="E33" s="17">
        <v>0</v>
      </c>
      <c r="F33" s="17">
        <v>0</v>
      </c>
      <c r="G33" s="17">
        <f>SUM(G34:G35)</f>
        <v>215073.33000000002</v>
      </c>
      <c r="H33" s="17">
        <v>0</v>
      </c>
      <c r="I33" s="13">
        <v>0</v>
      </c>
      <c r="J33" s="17">
        <v>0</v>
      </c>
      <c r="K33" s="13">
        <v>0</v>
      </c>
      <c r="L33" s="17">
        <v>0</v>
      </c>
      <c r="M33" s="17">
        <v>0</v>
      </c>
    </row>
    <row r="34" spans="1:13" s="3" customFormat="1" ht="21.6" customHeight="1" x14ac:dyDescent="0.2">
      <c r="A34" s="46"/>
      <c r="B34" s="43"/>
      <c r="C34" s="7" t="s">
        <v>3</v>
      </c>
      <c r="D34" s="14">
        <f t="shared" si="13"/>
        <v>21507.33</v>
      </c>
      <c r="E34" s="19">
        <v>0</v>
      </c>
      <c r="F34" s="19">
        <v>0</v>
      </c>
      <c r="G34" s="19">
        <v>21507.33</v>
      </c>
      <c r="H34" s="19">
        <v>0</v>
      </c>
      <c r="I34" s="14">
        <v>0</v>
      </c>
      <c r="J34" s="19">
        <v>0</v>
      </c>
      <c r="K34" s="14">
        <v>0</v>
      </c>
      <c r="L34" s="19">
        <v>0</v>
      </c>
      <c r="M34" s="19">
        <v>0</v>
      </c>
    </row>
    <row r="35" spans="1:13" s="3" customFormat="1" ht="21" customHeight="1" x14ac:dyDescent="0.2">
      <c r="A35" s="46"/>
      <c r="B35" s="43"/>
      <c r="C35" s="7" t="s">
        <v>30</v>
      </c>
      <c r="D35" s="14">
        <f t="shared" si="13"/>
        <v>193566</v>
      </c>
      <c r="E35" s="19">
        <v>0</v>
      </c>
      <c r="F35" s="19">
        <v>0</v>
      </c>
      <c r="G35" s="19">
        <v>193566</v>
      </c>
      <c r="H35" s="19">
        <v>0</v>
      </c>
      <c r="I35" s="14">
        <v>0</v>
      </c>
      <c r="J35" s="19">
        <v>0</v>
      </c>
      <c r="K35" s="14">
        <v>0</v>
      </c>
      <c r="L35" s="19">
        <v>0</v>
      </c>
      <c r="M35" s="19">
        <v>0</v>
      </c>
    </row>
    <row r="36" spans="1:13" s="3" customFormat="1" ht="102" customHeight="1" x14ac:dyDescent="0.2">
      <c r="A36" s="11" t="s">
        <v>60</v>
      </c>
      <c r="B36" s="11" t="s">
        <v>36</v>
      </c>
      <c r="C36" s="7" t="s">
        <v>3</v>
      </c>
      <c r="D36" s="8">
        <f t="shared" ref="D36:D45" si="16">E36+F36+G36+H36+I36+L36+J36+K36+M36</f>
        <v>1299479.17</v>
      </c>
      <c r="E36" s="8">
        <f>E37+E38+E39+E43</f>
        <v>139272</v>
      </c>
      <c r="F36" s="10">
        <f>F37+F38+F39+F43</f>
        <v>106904.35</v>
      </c>
      <c r="G36" s="10">
        <f>SUM(G37+G38+G39+G43)</f>
        <v>97217.12</v>
      </c>
      <c r="H36" s="8">
        <f t="shared" ref="H36:M36" si="17">H37+H39+H43+H38</f>
        <v>96208.75</v>
      </c>
      <c r="I36" s="8">
        <f t="shared" si="17"/>
        <v>92336.19</v>
      </c>
      <c r="J36" s="8">
        <f t="shared" si="17"/>
        <v>188992.81</v>
      </c>
      <c r="K36" s="8">
        <f t="shared" si="17"/>
        <v>192583.95</v>
      </c>
      <c r="L36" s="8">
        <f t="shared" si="17"/>
        <v>192982</v>
      </c>
      <c r="M36" s="8">
        <f t="shared" si="17"/>
        <v>192982</v>
      </c>
    </row>
    <row r="37" spans="1:13" s="3" customFormat="1" ht="69" customHeight="1" x14ac:dyDescent="0.2">
      <c r="A37" s="15" t="s">
        <v>7</v>
      </c>
      <c r="B37" s="15" t="s">
        <v>36</v>
      </c>
      <c r="C37" s="16" t="s">
        <v>3</v>
      </c>
      <c r="D37" s="13">
        <f t="shared" si="16"/>
        <v>31571.040000000001</v>
      </c>
      <c r="E37" s="13">
        <v>7094</v>
      </c>
      <c r="F37" s="17">
        <v>7094</v>
      </c>
      <c r="G37" s="17">
        <v>3908.04</v>
      </c>
      <c r="H37" s="13">
        <f>2500-1000</f>
        <v>1500</v>
      </c>
      <c r="I37" s="13">
        <v>2237.5</v>
      </c>
      <c r="J37" s="13">
        <v>2237.5</v>
      </c>
      <c r="K37" s="13">
        <v>2500</v>
      </c>
      <c r="L37" s="13">
        <v>2500</v>
      </c>
      <c r="M37" s="13">
        <v>2500</v>
      </c>
    </row>
    <row r="38" spans="1:13" s="3" customFormat="1" ht="69" customHeight="1" x14ac:dyDescent="0.2">
      <c r="A38" s="15" t="s">
        <v>19</v>
      </c>
      <c r="B38" s="15" t="s">
        <v>36</v>
      </c>
      <c r="C38" s="16" t="s">
        <v>3</v>
      </c>
      <c r="D38" s="13">
        <f t="shared" si="16"/>
        <v>27300</v>
      </c>
      <c r="E38" s="13">
        <v>5500</v>
      </c>
      <c r="F38" s="17">
        <v>5500</v>
      </c>
      <c r="G38" s="17">
        <v>3000</v>
      </c>
      <c r="H38" s="13">
        <f>2000+1000</f>
        <v>3000</v>
      </c>
      <c r="I38" s="13">
        <v>2000</v>
      </c>
      <c r="J38" s="13">
        <v>2300</v>
      </c>
      <c r="K38" s="13">
        <v>2000</v>
      </c>
      <c r="L38" s="13">
        <v>2000</v>
      </c>
      <c r="M38" s="13">
        <v>2000</v>
      </c>
    </row>
    <row r="39" spans="1:13" s="3" customFormat="1" ht="122.25" customHeight="1" x14ac:dyDescent="0.2">
      <c r="A39" s="15" t="s">
        <v>47</v>
      </c>
      <c r="B39" s="15" t="s">
        <v>36</v>
      </c>
      <c r="C39" s="53" t="s">
        <v>3</v>
      </c>
      <c r="D39" s="13">
        <f t="shared" si="16"/>
        <v>388685.56</v>
      </c>
      <c r="E39" s="13">
        <f t="shared" ref="E39:F39" si="18">E40+E41</f>
        <v>51952</v>
      </c>
      <c r="F39" s="17">
        <f t="shared" si="18"/>
        <v>28763.77</v>
      </c>
      <c r="G39" s="17">
        <f>SUM(G40:G42)</f>
        <v>31705</v>
      </c>
      <c r="H39" s="13">
        <f>H40+H41+H42</f>
        <v>50782.75</v>
      </c>
      <c r="I39" s="13">
        <f>I40+I41+I42</f>
        <v>47909.649999999994</v>
      </c>
      <c r="J39" s="13">
        <f>J40+J41+J42</f>
        <v>41000.26</v>
      </c>
      <c r="K39" s="13">
        <f t="shared" ref="K39:M39" si="19">K40+K41+K42</f>
        <v>45336.13</v>
      </c>
      <c r="L39" s="13">
        <f t="shared" si="19"/>
        <v>45618</v>
      </c>
      <c r="M39" s="13">
        <f t="shared" si="19"/>
        <v>45618</v>
      </c>
    </row>
    <row r="40" spans="1:13" s="3" customFormat="1" ht="139.19999999999999" customHeight="1" x14ac:dyDescent="0.2">
      <c r="A40" s="12" t="s">
        <v>14</v>
      </c>
      <c r="B40" s="39" t="s">
        <v>36</v>
      </c>
      <c r="C40" s="53"/>
      <c r="D40" s="14">
        <f t="shared" si="16"/>
        <v>191972</v>
      </c>
      <c r="E40" s="14">
        <v>17452</v>
      </c>
      <c r="F40" s="19">
        <v>0</v>
      </c>
      <c r="G40" s="19">
        <v>17452</v>
      </c>
      <c r="H40" s="14">
        <v>26178</v>
      </c>
      <c r="I40" s="14">
        <v>26178</v>
      </c>
      <c r="J40" s="14">
        <v>26178</v>
      </c>
      <c r="K40" s="14">
        <v>26178</v>
      </c>
      <c r="L40" s="14">
        <v>26178</v>
      </c>
      <c r="M40" s="14">
        <v>26178</v>
      </c>
    </row>
    <row r="41" spans="1:13" s="3" customFormat="1" ht="132" customHeight="1" x14ac:dyDescent="0.2">
      <c r="A41" s="12" t="s">
        <v>15</v>
      </c>
      <c r="B41" s="39"/>
      <c r="C41" s="53"/>
      <c r="D41" s="14">
        <f t="shared" si="16"/>
        <v>163445.01</v>
      </c>
      <c r="E41" s="14">
        <v>34500</v>
      </c>
      <c r="F41" s="19">
        <v>28763.77</v>
      </c>
      <c r="G41" s="19">
        <v>14253</v>
      </c>
      <c r="H41" s="14">
        <v>19604.75</v>
      </c>
      <c r="I41" s="14">
        <v>14095.1</v>
      </c>
      <c r="J41" s="14">
        <v>10134.26</v>
      </c>
      <c r="K41" s="14">
        <f>14100-205.87</f>
        <v>13894.13</v>
      </c>
      <c r="L41" s="14">
        <v>14100</v>
      </c>
      <c r="M41" s="14">
        <v>14100</v>
      </c>
    </row>
    <row r="42" spans="1:13" s="3" customFormat="1" ht="60" customHeight="1" x14ac:dyDescent="0.2">
      <c r="A42" s="12" t="s">
        <v>48</v>
      </c>
      <c r="B42" s="39"/>
      <c r="C42" s="53"/>
      <c r="D42" s="14">
        <f t="shared" si="16"/>
        <v>33268.550000000003</v>
      </c>
      <c r="E42" s="14">
        <v>0</v>
      </c>
      <c r="F42" s="14">
        <v>0</v>
      </c>
      <c r="G42" s="19">
        <v>0</v>
      </c>
      <c r="H42" s="14">
        <v>5000</v>
      </c>
      <c r="I42" s="14">
        <f>7638.98-2.43</f>
        <v>7636.5499999999993</v>
      </c>
      <c r="J42" s="14">
        <v>4688</v>
      </c>
      <c r="K42" s="14">
        <f>5340-76</f>
        <v>5264</v>
      </c>
      <c r="L42" s="14">
        <v>5340</v>
      </c>
      <c r="M42" s="14">
        <v>5340</v>
      </c>
    </row>
    <row r="43" spans="1:13" s="3" customFormat="1" ht="84" customHeight="1" x14ac:dyDescent="0.2">
      <c r="A43" s="20" t="s">
        <v>16</v>
      </c>
      <c r="B43" s="47" t="s">
        <v>36</v>
      </c>
      <c r="C43" s="51" t="s">
        <v>3</v>
      </c>
      <c r="D43" s="13">
        <f t="shared" si="16"/>
        <v>851922.57000000007</v>
      </c>
      <c r="E43" s="13">
        <f t="shared" ref="E43:M43" si="20">E44+E45</f>
        <v>74726</v>
      </c>
      <c r="F43" s="17">
        <f t="shared" si="20"/>
        <v>65546.58</v>
      </c>
      <c r="G43" s="17">
        <f t="shared" si="20"/>
        <v>58604.08</v>
      </c>
      <c r="H43" s="13">
        <f t="shared" si="20"/>
        <v>40926</v>
      </c>
      <c r="I43" s="13">
        <f t="shared" si="20"/>
        <v>40189.040000000001</v>
      </c>
      <c r="J43" s="13">
        <f t="shared" ref="J43:K43" si="21">J44+J45</f>
        <v>143455.04999999999</v>
      </c>
      <c r="K43" s="13">
        <f t="shared" si="21"/>
        <v>142747.82</v>
      </c>
      <c r="L43" s="13">
        <f t="shared" si="20"/>
        <v>142864</v>
      </c>
      <c r="M43" s="13">
        <f t="shared" si="20"/>
        <v>142864</v>
      </c>
    </row>
    <row r="44" spans="1:13" s="3" customFormat="1" ht="63" customHeight="1" x14ac:dyDescent="0.2">
      <c r="A44" s="12" t="s">
        <v>17</v>
      </c>
      <c r="B44" s="47"/>
      <c r="C44" s="51"/>
      <c r="D44" s="14">
        <f t="shared" si="16"/>
        <v>782114.57000000007</v>
      </c>
      <c r="E44" s="14">
        <v>66000</v>
      </c>
      <c r="F44" s="19">
        <v>65546.58</v>
      </c>
      <c r="G44" s="19">
        <v>49878.080000000002</v>
      </c>
      <c r="H44" s="14">
        <v>32200</v>
      </c>
      <c r="I44" s="14">
        <v>31463.040000000001</v>
      </c>
      <c r="J44" s="14">
        <v>134729.04999999999</v>
      </c>
      <c r="K44" s="14">
        <f>134138-116.18</f>
        <v>134021.82</v>
      </c>
      <c r="L44" s="14">
        <v>134138</v>
      </c>
      <c r="M44" s="14">
        <v>134138</v>
      </c>
    </row>
    <row r="45" spans="1:13" s="3" customFormat="1" ht="80.25" customHeight="1" x14ac:dyDescent="0.2">
      <c r="A45" s="12" t="s">
        <v>18</v>
      </c>
      <c r="B45" s="47"/>
      <c r="C45" s="51"/>
      <c r="D45" s="14">
        <f t="shared" si="16"/>
        <v>69808</v>
      </c>
      <c r="E45" s="14">
        <v>8726</v>
      </c>
      <c r="F45" s="19">
        <v>0</v>
      </c>
      <c r="G45" s="19">
        <v>8726</v>
      </c>
      <c r="H45" s="14">
        <v>8726</v>
      </c>
      <c r="I45" s="14">
        <v>8726</v>
      </c>
      <c r="J45" s="14">
        <v>8726</v>
      </c>
      <c r="K45" s="14">
        <v>8726</v>
      </c>
      <c r="L45" s="14">
        <v>8726</v>
      </c>
      <c r="M45" s="14">
        <v>8726</v>
      </c>
    </row>
    <row r="46" spans="1:13" s="3" customFormat="1" ht="60" customHeight="1" x14ac:dyDescent="0.2">
      <c r="A46" s="11" t="s">
        <v>59</v>
      </c>
      <c r="B46" s="35" t="s">
        <v>36</v>
      </c>
      <c r="C46" s="51" t="s">
        <v>3</v>
      </c>
      <c r="D46" s="8">
        <f>SUM(D47:D49)</f>
        <v>133831.56</v>
      </c>
      <c r="E46" s="8">
        <v>0</v>
      </c>
      <c r="F46" s="8">
        <v>0</v>
      </c>
      <c r="G46" s="10">
        <f t="shared" ref="G46:M46" si="22">SUM(G47:G49)</f>
        <v>20838</v>
      </c>
      <c r="H46" s="8">
        <f t="shared" si="22"/>
        <v>14002.48</v>
      </c>
      <c r="I46" s="8">
        <f t="shared" si="22"/>
        <v>17204.25</v>
      </c>
      <c r="J46" s="8">
        <f t="shared" si="22"/>
        <v>28839.629999999997</v>
      </c>
      <c r="K46" s="8">
        <f t="shared" si="22"/>
        <v>18288.739999999998</v>
      </c>
      <c r="L46" s="8">
        <f t="shared" si="22"/>
        <v>17329.23</v>
      </c>
      <c r="M46" s="8">
        <f t="shared" si="22"/>
        <v>17329.23</v>
      </c>
    </row>
    <row r="47" spans="1:13" s="3" customFormat="1" ht="90" customHeight="1" x14ac:dyDescent="0.2">
      <c r="A47" s="15" t="s">
        <v>52</v>
      </c>
      <c r="B47" s="15" t="s">
        <v>36</v>
      </c>
      <c r="C47" s="51"/>
      <c r="D47" s="14">
        <f>SUM(E47:M47)</f>
        <v>59016.219999999987</v>
      </c>
      <c r="E47" s="14">
        <v>0</v>
      </c>
      <c r="F47" s="14">
        <v>0</v>
      </c>
      <c r="G47" s="19">
        <v>6000</v>
      </c>
      <c r="H47" s="14">
        <v>7450</v>
      </c>
      <c r="I47" s="14">
        <v>9192.0499999999993</v>
      </c>
      <c r="J47" s="14">
        <v>8788.7999999999993</v>
      </c>
      <c r="K47" s="14">
        <f>9229.23-102.32</f>
        <v>9126.91</v>
      </c>
      <c r="L47" s="14">
        <v>9229.23</v>
      </c>
      <c r="M47" s="14">
        <v>9229.23</v>
      </c>
    </row>
    <row r="48" spans="1:13" s="3" customFormat="1" ht="66.75" customHeight="1" x14ac:dyDescent="0.2">
      <c r="A48" s="15" t="s">
        <v>53</v>
      </c>
      <c r="B48" s="15" t="s">
        <v>36</v>
      </c>
      <c r="C48" s="51"/>
      <c r="D48" s="14">
        <f>SUM(E48:M48)</f>
        <v>60478.84</v>
      </c>
      <c r="E48" s="14">
        <v>0</v>
      </c>
      <c r="F48" s="14">
        <v>0</v>
      </c>
      <c r="G48" s="19">
        <v>14838</v>
      </c>
      <c r="H48" s="14">
        <v>5250</v>
      </c>
      <c r="I48" s="14">
        <v>5195.6000000000004</v>
      </c>
      <c r="J48" s="14">
        <v>18098.91</v>
      </c>
      <c r="K48" s="14">
        <f>5250-232.08+1578.41</f>
        <v>6596.33</v>
      </c>
      <c r="L48" s="14">
        <v>5250</v>
      </c>
      <c r="M48" s="14">
        <v>5250</v>
      </c>
    </row>
    <row r="49" spans="1:13" s="3" customFormat="1" ht="70.95" customHeight="1" x14ac:dyDescent="0.2">
      <c r="A49" s="29" t="s">
        <v>54</v>
      </c>
      <c r="B49" s="15" t="s">
        <v>36</v>
      </c>
      <c r="C49" s="51"/>
      <c r="D49" s="14">
        <f>SUM(E49:M49)</f>
        <v>14336.5</v>
      </c>
      <c r="E49" s="14">
        <v>0</v>
      </c>
      <c r="F49" s="14">
        <v>0</v>
      </c>
      <c r="G49" s="23">
        <v>0</v>
      </c>
      <c r="H49" s="24">
        <v>1302.48</v>
      </c>
      <c r="I49" s="24">
        <v>2816.6</v>
      </c>
      <c r="J49" s="24">
        <v>1951.92</v>
      </c>
      <c r="K49" s="24">
        <f>2850-284.5</f>
        <v>2565.5</v>
      </c>
      <c r="L49" s="24">
        <v>2850</v>
      </c>
      <c r="M49" s="24">
        <v>2850</v>
      </c>
    </row>
    <row r="50" spans="1:13" s="3" customFormat="1" ht="20.25" customHeight="1" x14ac:dyDescent="0.2">
      <c r="A50" s="42" t="s">
        <v>62</v>
      </c>
      <c r="B50" s="44" t="s">
        <v>49</v>
      </c>
      <c r="C50" s="36" t="s">
        <v>20</v>
      </c>
      <c r="D50" s="27">
        <f>SUM(E50:M50)</f>
        <v>112082391.01999998</v>
      </c>
      <c r="E50" s="27">
        <f>SUM(E51:E53)</f>
        <v>0</v>
      </c>
      <c r="F50" s="28">
        <f t="shared" ref="F50" si="23">SUM(F51:F53)</f>
        <v>0</v>
      </c>
      <c r="G50" s="28">
        <f>G51+G52+G53</f>
        <v>16878768.140000001</v>
      </c>
      <c r="H50" s="27">
        <f t="shared" ref="H50:M50" si="24">SUM(H51:H53)</f>
        <v>23369596.800000001</v>
      </c>
      <c r="I50" s="27">
        <f t="shared" si="24"/>
        <v>23387875.68</v>
      </c>
      <c r="J50" s="27">
        <f t="shared" si="24"/>
        <v>17670723.84</v>
      </c>
      <c r="K50" s="27">
        <f t="shared" si="24"/>
        <v>17607772.800000001</v>
      </c>
      <c r="L50" s="27">
        <f t="shared" si="24"/>
        <v>6583826.8799999999</v>
      </c>
      <c r="M50" s="27">
        <f t="shared" si="24"/>
        <v>6583826.8799999999</v>
      </c>
    </row>
    <row r="51" spans="1:13" s="3" customFormat="1" ht="20.399999999999999" customHeight="1" x14ac:dyDescent="0.2">
      <c r="A51" s="42"/>
      <c r="B51" s="44"/>
      <c r="C51" s="36" t="s">
        <v>3</v>
      </c>
      <c r="D51" s="27">
        <f>SUM(E51:M51)</f>
        <v>42719799.200000003</v>
      </c>
      <c r="E51" s="27">
        <f>E55+E59</f>
        <v>0</v>
      </c>
      <c r="F51" s="28">
        <f t="shared" ref="F51:M51" si="25">F55+F59</f>
        <v>0</v>
      </c>
      <c r="G51" s="28">
        <f>G55+G59</f>
        <v>4583817.2700000005</v>
      </c>
      <c r="H51" s="27">
        <f t="shared" si="25"/>
        <v>5583826.8799999999</v>
      </c>
      <c r="I51" s="27">
        <f t="shared" si="25"/>
        <v>6852647.6000000006</v>
      </c>
      <c r="J51" s="27">
        <f t="shared" ref="J51:K51" si="26">J55+J59</f>
        <v>6538167.8200000003</v>
      </c>
      <c r="K51" s="27">
        <f t="shared" si="26"/>
        <v>5993685.8700000001</v>
      </c>
      <c r="L51" s="27">
        <f t="shared" si="25"/>
        <v>6583826.8799999999</v>
      </c>
      <c r="M51" s="27">
        <f t="shared" si="25"/>
        <v>6583826.8799999999</v>
      </c>
    </row>
    <row r="52" spans="1:13" s="3" customFormat="1" ht="20.399999999999999" customHeight="1" x14ac:dyDescent="0.2">
      <c r="A52" s="42"/>
      <c r="B52" s="44"/>
      <c r="C52" s="36" t="s">
        <v>21</v>
      </c>
      <c r="D52" s="27">
        <f>E52+F52+G52+H52+I52+L52+J52+K52+M52</f>
        <v>52100000.340000004</v>
      </c>
      <c r="E52" s="27">
        <f>E56+E60</f>
        <v>0</v>
      </c>
      <c r="F52" s="28">
        <f t="shared" ref="F52:M52" si="27">F56+F60</f>
        <v>0</v>
      </c>
      <c r="G52" s="28">
        <f>G56+G60+G64</f>
        <v>7758246.4699999997</v>
      </c>
      <c r="H52" s="27">
        <f>H56+H60+H64</f>
        <v>13184799.49</v>
      </c>
      <c r="I52" s="27">
        <f t="shared" si="27"/>
        <v>12646339.25</v>
      </c>
      <c r="J52" s="27">
        <f t="shared" ref="J52:K52" si="28">J56+J60</f>
        <v>8938622.1300000008</v>
      </c>
      <c r="K52" s="27">
        <f t="shared" si="28"/>
        <v>9571993</v>
      </c>
      <c r="L52" s="27">
        <f t="shared" si="27"/>
        <v>0</v>
      </c>
      <c r="M52" s="27">
        <f t="shared" si="27"/>
        <v>0</v>
      </c>
    </row>
    <row r="53" spans="1:13" s="3" customFormat="1" ht="20.25" customHeight="1" x14ac:dyDescent="0.2">
      <c r="A53" s="42"/>
      <c r="B53" s="44"/>
      <c r="C53" s="36" t="s">
        <v>22</v>
      </c>
      <c r="D53" s="27">
        <f>SUM(E53:M53)</f>
        <v>17262591.48</v>
      </c>
      <c r="E53" s="27">
        <f>E57+E61</f>
        <v>0</v>
      </c>
      <c r="F53" s="28">
        <f t="shared" ref="F53:M53" si="29">F57+F61</f>
        <v>0</v>
      </c>
      <c r="G53" s="28">
        <f t="shared" si="29"/>
        <v>4536704.4000000004</v>
      </c>
      <c r="H53" s="27">
        <f t="shared" si="29"/>
        <v>4600970.43</v>
      </c>
      <c r="I53" s="27">
        <f t="shared" si="29"/>
        <v>3888888.8299999996</v>
      </c>
      <c r="J53" s="27">
        <f t="shared" ref="J53:K53" si="30">J57+J61</f>
        <v>2193933.89</v>
      </c>
      <c r="K53" s="27">
        <f t="shared" si="30"/>
        <v>2042093.93</v>
      </c>
      <c r="L53" s="27">
        <f t="shared" si="29"/>
        <v>0</v>
      </c>
      <c r="M53" s="27">
        <f t="shared" si="29"/>
        <v>0</v>
      </c>
    </row>
    <row r="54" spans="1:13" s="3" customFormat="1" ht="25.5" customHeight="1" x14ac:dyDescent="0.2">
      <c r="A54" s="45" t="s">
        <v>55</v>
      </c>
      <c r="B54" s="43" t="s">
        <v>49</v>
      </c>
      <c r="C54" s="22" t="s">
        <v>20</v>
      </c>
      <c r="D54" s="24">
        <f>E54+F54+G54+H54+I54+L54+J54+K54+M54</f>
        <v>111266636.89999999</v>
      </c>
      <c r="E54" s="24">
        <f t="shared" ref="E54:F54" si="31">E55+E56+E57</f>
        <v>0</v>
      </c>
      <c r="F54" s="23">
        <f t="shared" si="31"/>
        <v>0</v>
      </c>
      <c r="G54" s="23">
        <f>G55+G56+G57</f>
        <v>16548074.42</v>
      </c>
      <c r="H54" s="24">
        <f t="shared" ref="H54:M54" si="32">H55+H56+H57</f>
        <v>22884536.399999999</v>
      </c>
      <c r="I54" s="24">
        <f t="shared" si="32"/>
        <v>23387875.68</v>
      </c>
      <c r="J54" s="24">
        <f t="shared" ref="J54:K54" si="33">J55+J56+J57</f>
        <v>17670723.84</v>
      </c>
      <c r="K54" s="24">
        <f t="shared" si="33"/>
        <v>17607772.800000001</v>
      </c>
      <c r="L54" s="24">
        <f t="shared" si="32"/>
        <v>6583826.8799999999</v>
      </c>
      <c r="M54" s="24">
        <f t="shared" si="32"/>
        <v>6583826.8799999999</v>
      </c>
    </row>
    <row r="55" spans="1:13" s="3" customFormat="1" ht="25.5" customHeight="1" x14ac:dyDescent="0.25">
      <c r="A55" s="45"/>
      <c r="B55" s="43"/>
      <c r="C55" s="22" t="s">
        <v>3</v>
      </c>
      <c r="D55" s="24">
        <f>E55+F55+G55+H55+I55+L55+J55+K55+M55</f>
        <v>42719799.200000003</v>
      </c>
      <c r="E55" s="25">
        <v>0</v>
      </c>
      <c r="F55" s="25">
        <v>0</v>
      </c>
      <c r="G55" s="23">
        <f>4583816.36+0.91</f>
        <v>4583817.2700000005</v>
      </c>
      <c r="H55" s="24">
        <v>5583826.8799999999</v>
      </c>
      <c r="I55" s="24">
        <f>6582407.7+270239.9</f>
        <v>6852647.6000000006</v>
      </c>
      <c r="J55" s="24">
        <v>6538167.8200000003</v>
      </c>
      <c r="K55" s="24">
        <f>6583826.88-590141.01</f>
        <v>5993685.8700000001</v>
      </c>
      <c r="L55" s="24">
        <v>6583826.8799999999</v>
      </c>
      <c r="M55" s="24">
        <v>6583826.8799999999</v>
      </c>
    </row>
    <row r="56" spans="1:13" s="3" customFormat="1" ht="25.5" customHeight="1" x14ac:dyDescent="0.25">
      <c r="A56" s="45"/>
      <c r="B56" s="43"/>
      <c r="C56" s="22" t="s">
        <v>21</v>
      </c>
      <c r="D56" s="24">
        <f>E56+F56+G56+H56+I56+L56+J56+K56+M56</f>
        <v>51284246.219999999</v>
      </c>
      <c r="E56" s="25">
        <v>0</v>
      </c>
      <c r="F56" s="25">
        <v>0</v>
      </c>
      <c r="G56" s="23">
        <v>7427552.75</v>
      </c>
      <c r="H56" s="24">
        <v>12699739.09</v>
      </c>
      <c r="I56" s="24">
        <f>12147620.24+498719.01</f>
        <v>12646339.25</v>
      </c>
      <c r="J56" s="24">
        <v>8938622.1300000008</v>
      </c>
      <c r="K56" s="24">
        <v>9571993</v>
      </c>
      <c r="L56" s="24">
        <v>0</v>
      </c>
      <c r="M56" s="24">
        <v>0</v>
      </c>
    </row>
    <row r="57" spans="1:13" s="3" customFormat="1" ht="25.5" customHeight="1" x14ac:dyDescent="0.25">
      <c r="A57" s="45"/>
      <c r="B57" s="43"/>
      <c r="C57" s="22" t="s">
        <v>22</v>
      </c>
      <c r="D57" s="24">
        <f>SUM(E57:M57)</f>
        <v>17262591.48</v>
      </c>
      <c r="E57" s="25">
        <v>0</v>
      </c>
      <c r="F57" s="25">
        <v>0</v>
      </c>
      <c r="G57" s="23">
        <v>4536704.4000000004</v>
      </c>
      <c r="H57" s="24">
        <v>4600970.43</v>
      </c>
      <c r="I57" s="24">
        <f>3735527.26+153361.57</f>
        <v>3888888.8299999996</v>
      </c>
      <c r="J57" s="24">
        <v>2193933.89</v>
      </c>
      <c r="K57" s="24">
        <v>2042093.93</v>
      </c>
      <c r="L57" s="24">
        <v>0</v>
      </c>
      <c r="M57" s="24">
        <v>0</v>
      </c>
    </row>
    <row r="58" spans="1:13" s="3" customFormat="1" ht="39" customHeight="1" x14ac:dyDescent="0.2">
      <c r="A58" s="45" t="s">
        <v>28</v>
      </c>
      <c r="B58" s="43" t="s">
        <v>49</v>
      </c>
      <c r="C58" s="22" t="s">
        <v>20</v>
      </c>
      <c r="D58" s="2">
        <f>E58+F58+G58+H58+I58+L58+J58+K58+M58</f>
        <v>0</v>
      </c>
      <c r="E58" s="2">
        <v>0</v>
      </c>
      <c r="F58" s="2">
        <v>0</v>
      </c>
      <c r="G58" s="21">
        <f t="shared" ref="G58:M58" si="34">G59+G60+G61</f>
        <v>0</v>
      </c>
      <c r="H58" s="2">
        <f t="shared" si="34"/>
        <v>0</v>
      </c>
      <c r="I58" s="2">
        <f t="shared" si="34"/>
        <v>0</v>
      </c>
      <c r="J58" s="2">
        <f t="shared" ref="J58:K58" si="35">J59+J60+J61</f>
        <v>0</v>
      </c>
      <c r="K58" s="2">
        <f t="shared" si="35"/>
        <v>0</v>
      </c>
      <c r="L58" s="2">
        <f t="shared" si="34"/>
        <v>0</v>
      </c>
      <c r="M58" s="2">
        <f t="shared" si="34"/>
        <v>0</v>
      </c>
    </row>
    <row r="59" spans="1:13" s="3" customFormat="1" ht="39" customHeight="1" x14ac:dyDescent="0.2">
      <c r="A59" s="45"/>
      <c r="B59" s="43"/>
      <c r="C59" s="22" t="s">
        <v>3</v>
      </c>
      <c r="D59" s="2">
        <f>E59+F59+G59+H59+I59+L59+J59+K59+M59</f>
        <v>0</v>
      </c>
      <c r="E59" s="2">
        <v>0</v>
      </c>
      <c r="F59" s="2">
        <v>0</v>
      </c>
      <c r="G59" s="21">
        <f t="shared" ref="G59:M59" si="36">G60+G61+G66</f>
        <v>0</v>
      </c>
      <c r="H59" s="2">
        <f t="shared" si="36"/>
        <v>0</v>
      </c>
      <c r="I59" s="2">
        <f t="shared" si="36"/>
        <v>0</v>
      </c>
      <c r="J59" s="2">
        <f t="shared" si="36"/>
        <v>0</v>
      </c>
      <c r="K59" s="2">
        <f t="shared" si="36"/>
        <v>0</v>
      </c>
      <c r="L59" s="2">
        <f t="shared" si="36"/>
        <v>0</v>
      </c>
      <c r="M59" s="2">
        <f t="shared" si="36"/>
        <v>0</v>
      </c>
    </row>
    <row r="60" spans="1:13" s="3" customFormat="1" ht="39" customHeight="1" x14ac:dyDescent="0.2">
      <c r="A60" s="45"/>
      <c r="B60" s="43"/>
      <c r="C60" s="22" t="s">
        <v>21</v>
      </c>
      <c r="D60" s="2">
        <f>E60+F60+G60+H60+I60+L60+J60+K60+M60</f>
        <v>0</v>
      </c>
      <c r="E60" s="2">
        <v>0</v>
      </c>
      <c r="F60" s="2">
        <v>0</v>
      </c>
      <c r="G60" s="21">
        <f t="shared" ref="G60:M60" si="37">G61+G66+G67</f>
        <v>0</v>
      </c>
      <c r="H60" s="2">
        <f t="shared" si="37"/>
        <v>0</v>
      </c>
      <c r="I60" s="2">
        <f t="shared" si="37"/>
        <v>0</v>
      </c>
      <c r="J60" s="2">
        <f t="shared" si="37"/>
        <v>0</v>
      </c>
      <c r="K60" s="2">
        <f t="shared" si="37"/>
        <v>0</v>
      </c>
      <c r="L60" s="2">
        <f t="shared" si="37"/>
        <v>0</v>
      </c>
      <c r="M60" s="2">
        <f t="shared" si="37"/>
        <v>0</v>
      </c>
    </row>
    <row r="61" spans="1:13" s="3" customFormat="1" ht="39" customHeight="1" x14ac:dyDescent="0.2">
      <c r="A61" s="45"/>
      <c r="B61" s="43"/>
      <c r="C61" s="22" t="s">
        <v>22</v>
      </c>
      <c r="D61" s="2">
        <f>E61+F61+G61+H61+I61+L61+J61+K61+M61</f>
        <v>0</v>
      </c>
      <c r="E61" s="2">
        <v>0</v>
      </c>
      <c r="F61" s="2">
        <v>0</v>
      </c>
      <c r="G61" s="21">
        <f t="shared" ref="G61:M61" si="38">G66+G67+G68</f>
        <v>0</v>
      </c>
      <c r="H61" s="2">
        <f t="shared" si="38"/>
        <v>0</v>
      </c>
      <c r="I61" s="2">
        <f t="shared" si="38"/>
        <v>0</v>
      </c>
      <c r="J61" s="2">
        <f t="shared" si="38"/>
        <v>0</v>
      </c>
      <c r="K61" s="2">
        <f t="shared" si="38"/>
        <v>0</v>
      </c>
      <c r="L61" s="2">
        <f t="shared" si="38"/>
        <v>0</v>
      </c>
      <c r="M61" s="2">
        <f t="shared" si="38"/>
        <v>0</v>
      </c>
    </row>
    <row r="62" spans="1:13" s="3" customFormat="1" ht="23.25" customHeight="1" x14ac:dyDescent="0.2">
      <c r="A62" s="45" t="s">
        <v>31</v>
      </c>
      <c r="B62" s="43" t="s">
        <v>49</v>
      </c>
      <c r="C62" s="22" t="s">
        <v>20</v>
      </c>
      <c r="D62" s="24">
        <f>D63+D65+D64</f>
        <v>815754.12</v>
      </c>
      <c r="E62" s="24">
        <v>0</v>
      </c>
      <c r="F62" s="24">
        <v>0</v>
      </c>
      <c r="G62" s="23">
        <f>G63+G64+G65</f>
        <v>330693.71999999997</v>
      </c>
      <c r="H62" s="24">
        <f t="shared" ref="H62:M62" si="39">H63+H64+H65</f>
        <v>485060.4</v>
      </c>
      <c r="I62" s="24">
        <f t="shared" si="39"/>
        <v>0</v>
      </c>
      <c r="J62" s="24">
        <f t="shared" ref="J62:K62" si="40">J63+J64+J65</f>
        <v>0</v>
      </c>
      <c r="K62" s="24">
        <f t="shared" si="40"/>
        <v>0</v>
      </c>
      <c r="L62" s="24">
        <f t="shared" si="39"/>
        <v>0</v>
      </c>
      <c r="M62" s="24">
        <f t="shared" si="39"/>
        <v>0</v>
      </c>
    </row>
    <row r="63" spans="1:13" ht="22.5" customHeight="1" x14ac:dyDescent="0.3">
      <c r="A63" s="45"/>
      <c r="B63" s="43"/>
      <c r="C63" s="22" t="s">
        <v>3</v>
      </c>
      <c r="D63" s="24">
        <f>E63+F63+G63+H63+I63+L63+J63+K63+M63</f>
        <v>0</v>
      </c>
      <c r="E63" s="24">
        <v>0</v>
      </c>
      <c r="F63" s="24">
        <v>0</v>
      </c>
      <c r="G63" s="23">
        <v>0</v>
      </c>
      <c r="H63" s="24">
        <v>0</v>
      </c>
      <c r="I63" s="24">
        <v>0</v>
      </c>
      <c r="J63" s="24">
        <f>J64+J65+J70</f>
        <v>0</v>
      </c>
      <c r="K63" s="24">
        <f>K64+K65+K70</f>
        <v>0</v>
      </c>
      <c r="L63" s="24">
        <f>L64+L65+L70</f>
        <v>0</v>
      </c>
      <c r="M63" s="24">
        <f>M64+M65+M70</f>
        <v>0</v>
      </c>
    </row>
    <row r="64" spans="1:13" ht="21.75" customHeight="1" x14ac:dyDescent="0.3">
      <c r="A64" s="45"/>
      <c r="B64" s="43"/>
      <c r="C64" s="22" t="s">
        <v>21</v>
      </c>
      <c r="D64" s="24">
        <f>E64+F64+G64+H64+I64+L64+J64+K64+M64</f>
        <v>815754.12</v>
      </c>
      <c r="E64" s="24">
        <v>0</v>
      </c>
      <c r="F64" s="24">
        <v>0</v>
      </c>
      <c r="G64" s="23">
        <v>330693.71999999997</v>
      </c>
      <c r="H64" s="24">
        <v>485060.4</v>
      </c>
      <c r="I64" s="24">
        <v>0</v>
      </c>
      <c r="J64" s="24">
        <f>J65+J70+J71</f>
        <v>0</v>
      </c>
      <c r="K64" s="24">
        <f>K65+K70+K71</f>
        <v>0</v>
      </c>
      <c r="L64" s="24">
        <f>L65+L70+L71</f>
        <v>0</v>
      </c>
      <c r="M64" s="24">
        <f>M65+M70+M71</f>
        <v>0</v>
      </c>
    </row>
    <row r="65" spans="1:13" ht="22.5" customHeight="1" x14ac:dyDescent="0.3">
      <c r="A65" s="45"/>
      <c r="B65" s="43"/>
      <c r="C65" s="22" t="s">
        <v>22</v>
      </c>
      <c r="D65" s="24">
        <f>E65+F65+G65+H65+I65+L65+J65+K65+M65</f>
        <v>0</v>
      </c>
      <c r="E65" s="24">
        <v>0</v>
      </c>
      <c r="F65" s="24">
        <v>0</v>
      </c>
      <c r="G65" s="23">
        <f t="shared" ref="G65:M65" si="41">G70+G71+G72</f>
        <v>0</v>
      </c>
      <c r="H65" s="24">
        <f t="shared" si="41"/>
        <v>0</v>
      </c>
      <c r="I65" s="24">
        <f t="shared" si="41"/>
        <v>0</v>
      </c>
      <c r="J65" s="24">
        <f t="shared" si="41"/>
        <v>0</v>
      </c>
      <c r="K65" s="24">
        <f t="shared" si="41"/>
        <v>0</v>
      </c>
      <c r="L65" s="24">
        <f t="shared" si="41"/>
        <v>0</v>
      </c>
      <c r="M65" s="24">
        <f t="shared" si="41"/>
        <v>0</v>
      </c>
    </row>
    <row r="66" spans="1:13" x14ac:dyDescent="0.3">
      <c r="A66" s="48" t="s">
        <v>29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1:13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</row>
  </sheetData>
  <mergeCells count="39">
    <mergeCell ref="A1:M1"/>
    <mergeCell ref="A2:M2"/>
    <mergeCell ref="C46:C49"/>
    <mergeCell ref="C43:C45"/>
    <mergeCell ref="C24:C30"/>
    <mergeCell ref="C39:C42"/>
    <mergeCell ref="B7:B10"/>
    <mergeCell ref="A7:A10"/>
    <mergeCell ref="A3:A5"/>
    <mergeCell ref="D3:D5"/>
    <mergeCell ref="E4:E5"/>
    <mergeCell ref="F4:F5"/>
    <mergeCell ref="G4:G5"/>
    <mergeCell ref="H4:H5"/>
    <mergeCell ref="I4:I5"/>
    <mergeCell ref="L4:L5"/>
    <mergeCell ref="A66:L67"/>
    <mergeCell ref="A58:A61"/>
    <mergeCell ref="B58:B61"/>
    <mergeCell ref="A62:A65"/>
    <mergeCell ref="B62:B65"/>
    <mergeCell ref="A50:A53"/>
    <mergeCell ref="B54:B57"/>
    <mergeCell ref="A11:A13"/>
    <mergeCell ref="B11:B13"/>
    <mergeCell ref="A54:A57"/>
    <mergeCell ref="B40:B42"/>
    <mergeCell ref="A33:A35"/>
    <mergeCell ref="B33:B35"/>
    <mergeCell ref="B43:B45"/>
    <mergeCell ref="B18:B23"/>
    <mergeCell ref="B25:B30"/>
    <mergeCell ref="B50:B53"/>
    <mergeCell ref="B3:B5"/>
    <mergeCell ref="C3:C5"/>
    <mergeCell ref="J4:J5"/>
    <mergeCell ref="K4:K5"/>
    <mergeCell ref="E3:M3"/>
    <mergeCell ref="M4:M5"/>
  </mergeCells>
  <pageMargins left="0.70866141732283472" right="0.55118110236220474" top="0.74803149606299213" bottom="0.74803149606299213" header="0.31496062992125984" footer="0.31496062992125984"/>
  <pageSetup paperSize="9" scale="56" fitToHeight="0" orientation="landscape" r:id="rId1"/>
  <headerFooter>
    <evenHeader>&amp;C&amp;[21</evenHeader>
    <firstHeader xml:space="preserve">&amp;C
</first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Ресурсное обеспечение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Светлана Сергеевна</dc:creator>
  <cp:lastModifiedBy>Андреева Ольга Николаевна</cp:lastModifiedBy>
  <cp:lastPrinted>2025-12-19T08:40:29Z</cp:lastPrinted>
  <dcterms:created xsi:type="dcterms:W3CDTF">2017-10-02T06:41:49Z</dcterms:created>
  <dcterms:modified xsi:type="dcterms:W3CDTF">2026-01-02T06:06:52Z</dcterms:modified>
</cp:coreProperties>
</file>