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2331-па_15.12.2025\"/>
    </mc:Choice>
  </mc:AlternateContent>
  <xr:revisionPtr revIDLastSave="0" documentId="13_ncr:1_{0B01C53B-2FE5-458D-B0D3-CC29D7D921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1" r:id="rId1"/>
  </sheets>
  <definedNames>
    <definedName name="_xlnm.Print_Area" localSheetId="0">Лист2!$A$1:$T$95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M23" i="1"/>
  <c r="L23" i="1"/>
  <c r="K23" i="1"/>
  <c r="J23" i="1"/>
  <c r="I23" i="1"/>
  <c r="H23" i="1"/>
  <c r="G23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G20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H26" i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G25" i="1" l="1"/>
  <c r="G29" i="1" s="1"/>
  <c r="G33" i="1" s="1"/>
  <c r="G37" i="1" s="1"/>
  <c r="G61" i="1" s="1"/>
  <c r="G65" i="1" s="1"/>
  <c r="G69" i="1" s="1"/>
  <c r="G74" i="1" s="1"/>
  <c r="G79" i="1" s="1"/>
  <c r="G75" i="1" l="1"/>
  <c r="H15" i="1" l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l="1"/>
  <c r="T15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E29" i="1" l="1"/>
  <c r="F29" i="1" s="1"/>
  <c r="E79" i="1" l="1"/>
  <c r="F79" i="1" s="1"/>
  <c r="E11" i="1" l="1"/>
  <c r="F11" i="1" s="1"/>
  <c r="H11" i="1" s="1"/>
  <c r="E15" i="1"/>
  <c r="F15" i="1" s="1"/>
  <c r="E20" i="1"/>
  <c r="F20" i="1" s="1"/>
  <c r="E25" i="1"/>
  <c r="F25" i="1" s="1"/>
  <c r="E33" i="1"/>
  <c r="F33" i="1" s="1"/>
  <c r="E37" i="1"/>
  <c r="F37" i="1" s="1"/>
  <c r="E61" i="1"/>
  <c r="F61" i="1" s="1"/>
  <c r="E65" i="1"/>
  <c r="F65" i="1" s="1"/>
  <c r="E69" i="1"/>
  <c r="F69" i="1" s="1"/>
  <c r="E74" i="1"/>
  <c r="F74" i="1" s="1"/>
  <c r="H25" i="1" l="1"/>
  <c r="H29" i="1" s="1"/>
  <c r="H33" i="1" s="1"/>
  <c r="H37" i="1" s="1"/>
  <c r="H61" i="1" s="1"/>
  <c r="H65" i="1" s="1"/>
  <c r="H69" i="1" s="1"/>
  <c r="H74" i="1" s="1"/>
  <c r="H79" i="1" s="1"/>
  <c r="H20" i="1"/>
  <c r="I11" i="1"/>
  <c r="I25" i="1" l="1"/>
  <c r="I29" i="1" s="1"/>
  <c r="I33" i="1" s="1"/>
  <c r="I37" i="1" s="1"/>
  <c r="I61" i="1" s="1"/>
  <c r="I65" i="1" s="1"/>
  <c r="I69" i="1" s="1"/>
  <c r="I74" i="1" s="1"/>
  <c r="I79" i="1" s="1"/>
  <c r="I20" i="1"/>
  <c r="J11" i="1"/>
  <c r="J25" i="1" l="1"/>
  <c r="J29" i="1" s="1"/>
  <c r="J33" i="1" s="1"/>
  <c r="J37" i="1" s="1"/>
  <c r="J61" i="1" s="1"/>
  <c r="J65" i="1" s="1"/>
  <c r="J69" i="1" s="1"/>
  <c r="J74" i="1" s="1"/>
  <c r="J79" i="1" s="1"/>
  <c r="J20" i="1"/>
  <c r="K11" i="1"/>
  <c r="K25" i="1" l="1"/>
  <c r="K29" i="1" s="1"/>
  <c r="K33" i="1" s="1"/>
  <c r="K37" i="1" s="1"/>
  <c r="K61" i="1" s="1"/>
  <c r="K65" i="1" s="1"/>
  <c r="K69" i="1" s="1"/>
  <c r="K74" i="1" s="1"/>
  <c r="K79" i="1" s="1"/>
  <c r="K20" i="1"/>
  <c r="L11" i="1"/>
  <c r="L25" i="1" l="1"/>
  <c r="L29" i="1" s="1"/>
  <c r="L33" i="1" s="1"/>
  <c r="L37" i="1" s="1"/>
  <c r="L61" i="1" s="1"/>
  <c r="L65" i="1" s="1"/>
  <c r="L69" i="1" s="1"/>
  <c r="L74" i="1" s="1"/>
  <c r="L79" i="1" s="1"/>
  <c r="L20" i="1"/>
  <c r="M11" i="1"/>
  <c r="M20" i="1" s="1"/>
  <c r="M25" i="1" l="1"/>
  <c r="M29" i="1" s="1"/>
  <c r="M33" i="1" s="1"/>
  <c r="M37" i="1" s="1"/>
  <c r="M61" i="1" s="1"/>
  <c r="M65" i="1" s="1"/>
  <c r="M69" i="1" s="1"/>
  <c r="M74" i="1" s="1"/>
  <c r="M79" i="1" s="1"/>
  <c r="N11" i="1"/>
  <c r="N25" i="1" l="1"/>
  <c r="N29" i="1" s="1"/>
  <c r="N33" i="1" s="1"/>
  <c r="N37" i="1" s="1"/>
  <c r="N61" i="1" s="1"/>
  <c r="N65" i="1" s="1"/>
  <c r="N69" i="1" s="1"/>
  <c r="N74" i="1" s="1"/>
  <c r="N79" i="1" s="1"/>
  <c r="N20" i="1"/>
  <c r="O11" i="1"/>
  <c r="O25" i="1" l="1"/>
  <c r="O29" i="1" s="1"/>
  <c r="O33" i="1" s="1"/>
  <c r="O37" i="1" s="1"/>
  <c r="O61" i="1" s="1"/>
  <c r="O65" i="1" s="1"/>
  <c r="O69" i="1" s="1"/>
  <c r="O74" i="1" s="1"/>
  <c r="O79" i="1" s="1"/>
  <c r="O20" i="1"/>
  <c r="P11" i="1"/>
  <c r="P25" i="1" l="1"/>
  <c r="P29" i="1" s="1"/>
  <c r="P33" i="1" s="1"/>
  <c r="P37" i="1" s="1"/>
  <c r="P61" i="1" s="1"/>
  <c r="P65" i="1" s="1"/>
  <c r="P69" i="1" s="1"/>
  <c r="P74" i="1" s="1"/>
  <c r="P79" i="1" s="1"/>
  <c r="P20" i="1"/>
  <c r="Q11" i="1"/>
  <c r="Q25" i="1" l="1"/>
  <c r="Q29" i="1" s="1"/>
  <c r="Q33" i="1" s="1"/>
  <c r="Q37" i="1" s="1"/>
  <c r="Q61" i="1" s="1"/>
  <c r="Q65" i="1" s="1"/>
  <c r="Q69" i="1" s="1"/>
  <c r="Q74" i="1" s="1"/>
  <c r="Q79" i="1" s="1"/>
  <c r="Q20" i="1"/>
  <c r="R11" i="1"/>
  <c r="R20" i="1" s="1"/>
  <c r="S11" i="1" l="1"/>
  <c r="S20" i="1" s="1"/>
  <c r="R25" i="1"/>
  <c r="R29" i="1" s="1"/>
  <c r="R33" i="1" s="1"/>
  <c r="R37" i="1" s="1"/>
  <c r="R61" i="1" s="1"/>
  <c r="R65" i="1" s="1"/>
  <c r="R69" i="1" s="1"/>
  <c r="R74" i="1" s="1"/>
  <c r="R79" i="1" s="1"/>
  <c r="T11" i="1" l="1"/>
  <c r="S25" i="1"/>
  <c r="S29" i="1" s="1"/>
  <c r="S33" i="1" s="1"/>
  <c r="S37" i="1" s="1"/>
  <c r="S61" i="1" s="1"/>
  <c r="S65" i="1" s="1"/>
  <c r="S69" i="1" s="1"/>
  <c r="S74" i="1" s="1"/>
  <c r="S79" i="1" s="1"/>
  <c r="G13" i="1" l="1"/>
  <c r="G22" i="1" s="1"/>
  <c r="T20" i="1"/>
  <c r="T25" i="1"/>
  <c r="H13" i="1" l="1"/>
  <c r="H22" i="1" s="1"/>
  <c r="T29" i="1"/>
  <c r="G27" i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I13" i="1" l="1"/>
  <c r="I22" i="1" s="1"/>
  <c r="T33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J13" i="1"/>
  <c r="J22" i="1" s="1"/>
  <c r="T37" i="1" l="1"/>
  <c r="G35" i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K13" i="1"/>
  <c r="K22" i="1" s="1"/>
  <c r="T61" i="1" l="1"/>
  <c r="G39" i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L13" i="1"/>
  <c r="L22" i="1" s="1"/>
  <c r="T65" i="1" l="1"/>
  <c r="G63" i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M13" i="1"/>
  <c r="M22" i="1" s="1"/>
  <c r="T69" i="1" l="1"/>
  <c r="G67" i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N13" i="1"/>
  <c r="N22" i="1" s="1"/>
  <c r="T74" i="1" l="1"/>
  <c r="G71" i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O13" i="1"/>
  <c r="O22" i="1" s="1"/>
  <c r="T79" i="1" l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T81" i="1" s="1"/>
  <c r="G76" i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P13" i="1"/>
  <c r="Q13" i="1" l="1"/>
  <c r="Q22" i="1" s="1"/>
  <c r="P22" i="1"/>
  <c r="R13" i="1"/>
  <c r="R22" i="1" s="1"/>
  <c r="S13" i="1" l="1"/>
  <c r="S22" i="1" s="1"/>
  <c r="T13" i="1" l="1"/>
  <c r="T22" i="1" s="1"/>
</calcChain>
</file>

<file path=xl/sharedStrings.xml><?xml version="1.0" encoding="utf-8"?>
<sst xmlns="http://schemas.openxmlformats.org/spreadsheetml/2006/main" count="134" uniqueCount="33">
  <si>
    <t>Наименование показателей</t>
  </si>
  <si>
    <t xml:space="preserve">Показатели качества 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</si>
  <si>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 (%)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</si>
  <si>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 (%).</t>
  </si>
  <si>
    <t xml:space="preserve">Показатели надежности и бесперебойности водоснабжения и водоотведения </t>
  </si>
  <si>
    <t>Количество перерывов в подаче воды, зафиксированных в местах исполнения обязательств организацией, осуществляющей холодное водоснабжение, по подаче холодной воды, возникших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водоснабжение, в расчете на протяженность водопроводной сети в год (ед./км).</t>
  </si>
  <si>
    <t xml:space="preserve">Показателями энергетической эффективности </t>
  </si>
  <si>
    <t>Удельный расход электрической энергии, потребляемой в процессе подъема и транспортировки питьевой воды, на единицу объема воды, отпускаемой в сеть (кВт*ч/куб. м)</t>
  </si>
  <si>
    <t>Удельный расход электрической энергии, потребляемой в процессе подъема и транспортировки технической воды, на единицу объема воды, отпускаемой в сеть (кВт*ч/куб. м) вода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</si>
  <si>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 (%)</t>
  </si>
  <si>
    <t>Доля поверхностных сточных вод, не подвергающихся очистке, в общем объеме поверхностных сточных вод, принимаемых в централизованную ливневую систему водоотведения (%)</t>
  </si>
  <si>
    <t>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(%)</t>
  </si>
  <si>
    <t>Количество аварий и засоров на канализационных сетях в расчете на протяженность канализационных сетей (ед./км)</t>
  </si>
  <si>
    <t>Удельный расход электрической энергии, потребляемой в технологическом процессе очистки и транспортировки сточных вод, на единицу объема сточных вод (кВт*ч/куб. м)</t>
  </si>
  <si>
    <t>Ед.изм.</t>
  </si>
  <si>
    <t>%</t>
  </si>
  <si>
    <t>ед./км</t>
  </si>
  <si>
    <t>Предыдущий период</t>
  </si>
  <si>
    <t>Период действия концессионного соглашения</t>
  </si>
  <si>
    <t>кВтч/м3</t>
  </si>
  <si>
    <t xml:space="preserve">Минимально допустимые плановые значения показателей надежности, качества и энергетической эффективности объектов, </t>
  </si>
  <si>
    <t>Таблица 3.2. В сфере водоотведения</t>
  </si>
  <si>
    <t>Доля потерь питьевой воды в централизованных системах водоснабжения при транспортировке в общем объеме воды, поданной в водопроводную сеть (в процентах)</t>
  </si>
  <si>
    <t>Доля потерь технической воды в централизованных системах водоснабжения при транспортировке в общем объеме воды, поданной в водопроводную сеть (в процентах)</t>
  </si>
  <si>
    <t>-</t>
  </si>
  <si>
    <t>Приложение № 12</t>
  </si>
  <si>
    <t>к постановлению администрации</t>
  </si>
  <si>
    <t xml:space="preserve">города Усолье - Сибирское </t>
  </si>
  <si>
    <t>которые должны быть достигнуты в результате реализации Концессионного соглашения в сфере водоснабжения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</si>
  <si>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</si>
  <si>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которые должны быть достигнуты в результате реализации Концессионного соглашения в сфере водоотведения</t>
  </si>
  <si>
    <t>Приложение № 11</t>
  </si>
  <si>
    <t>от 15.12.2025 № 2331-па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</si>
</sst>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 wrapText="1"/>
    </xf>
    <xf numFmtId="1" fontId="3" fillId="3" borderId="17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4" borderId="8" xfId="0" applyFill="1" applyBorder="1"/>
    <xf numFmtId="0" fontId="0" fillId="4" borderId="1" xfId="0" applyFill="1" applyBorder="1"/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right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vertical="center" wrapText="1"/>
    </xf>
    <xf numFmtId="0" fontId="0" fillId="4" borderId="26" xfId="0" applyFill="1" applyBorder="1"/>
    <xf numFmtId="0" fontId="0" fillId="4" borderId="27" xfId="0" applyFill="1" applyBorder="1"/>
    <xf numFmtId="3" fontId="2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6" xfId="0" applyFill="1" applyBorder="1"/>
    <xf numFmtId="164" fontId="3" fillId="0" borderId="19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3" fontId="2" fillId="4" borderId="0" xfId="0" applyNumberFormat="1" applyFont="1" applyFill="1" applyAlignment="1">
      <alignment vertical="center" wrapText="1"/>
    </xf>
    <xf numFmtId="3" fontId="2" fillId="4" borderId="6" xfId="0" applyNumberFormat="1" applyFont="1" applyFill="1" applyBorder="1" applyAlignment="1">
      <alignment vertical="center" wrapText="1"/>
    </xf>
    <xf numFmtId="3" fontId="2" fillId="4" borderId="6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91"/>
  <sheetViews>
    <sheetView tabSelected="1" topLeftCell="C1" zoomScale="90" zoomScaleNormal="90" zoomScaleSheetLayoutView="90" workbookViewId="0">
      <selection activeCell="T53" sqref="T53"/>
    </sheetView>
  </sheetViews>
  <sheetFormatPr defaultRowHeight="14.4" outlineLevelRow="1" outlineLevelCol="1" x14ac:dyDescent="0.3"/>
  <cols>
    <col min="2" max="2" width="72.44140625" customWidth="1"/>
    <col min="3" max="3" width="10.109375" customWidth="1"/>
    <col min="4" max="4" width="8.88671875" hidden="1" customWidth="1" outlineLevel="1"/>
    <col min="5" max="6" width="9.109375" hidden="1" customWidth="1" outlineLevel="1"/>
    <col min="7" max="7" width="12.33203125" customWidth="1" collapsed="1"/>
    <col min="8" max="20" width="12.33203125" customWidth="1"/>
  </cols>
  <sheetData>
    <row r="1" spans="2:20" ht="18" x14ac:dyDescent="0.35">
      <c r="Q1" s="31"/>
      <c r="T1" s="32" t="s">
        <v>25</v>
      </c>
    </row>
    <row r="2" spans="2:20" ht="15.6" x14ac:dyDescent="0.3">
      <c r="Q2" s="31"/>
      <c r="T2" s="76" t="s">
        <v>26</v>
      </c>
    </row>
    <row r="3" spans="2:20" ht="15.6" x14ac:dyDescent="0.3">
      <c r="Q3" s="31"/>
      <c r="T3" s="76" t="s">
        <v>27</v>
      </c>
    </row>
    <row r="4" spans="2:20" ht="15.6" x14ac:dyDescent="0.3">
      <c r="Q4" s="31"/>
      <c r="T4" s="76" t="s">
        <v>32</v>
      </c>
    </row>
    <row r="5" spans="2:20" x14ac:dyDescent="0.3">
      <c r="Q5" s="31"/>
    </row>
    <row r="6" spans="2:20" ht="17.399999999999999" x14ac:dyDescent="0.3">
      <c r="B6" s="78" t="s">
        <v>20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2:20" ht="17.399999999999999" x14ac:dyDescent="0.3">
      <c r="B7" s="78" t="s">
        <v>28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spans="2:20" ht="15" thickBot="1" x14ac:dyDescent="0.35"/>
    <row r="9" spans="2:20" ht="16.2" thickBot="1" x14ac:dyDescent="0.35">
      <c r="B9" s="69" t="s">
        <v>0</v>
      </c>
      <c r="C9" s="70" t="s">
        <v>14</v>
      </c>
      <c r="D9" s="83" t="s">
        <v>17</v>
      </c>
      <c r="E9" s="83"/>
      <c r="F9" s="84"/>
      <c r="G9" s="82" t="s">
        <v>18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</row>
    <row r="10" spans="2:20" ht="16.2" hidden="1" outlineLevel="1" thickBot="1" x14ac:dyDescent="0.35">
      <c r="B10" s="5" t="s">
        <v>1</v>
      </c>
      <c r="C10" s="6"/>
      <c r="D10" s="6"/>
      <c r="E10" s="6"/>
      <c r="F10" s="6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</row>
    <row r="11" spans="2:20" ht="24.75" hidden="1" customHeight="1" outlineLevel="1" x14ac:dyDescent="0.3">
      <c r="B11" s="89" t="s">
        <v>2</v>
      </c>
      <c r="C11" s="87" t="s">
        <v>15</v>
      </c>
      <c r="D11" s="12">
        <v>2020</v>
      </c>
      <c r="E11" s="13">
        <f>D11+1</f>
        <v>2021</v>
      </c>
      <c r="F11" s="19">
        <f t="shared" ref="F11" si="0">E11+1</f>
        <v>2022</v>
      </c>
      <c r="G11" s="12">
        <v>2026</v>
      </c>
      <c r="H11" s="13">
        <f t="shared" ref="H11:Q11" si="1">G11+1</f>
        <v>2027</v>
      </c>
      <c r="I11" s="13">
        <f t="shared" si="1"/>
        <v>2028</v>
      </c>
      <c r="J11" s="13">
        <f t="shared" si="1"/>
        <v>2029</v>
      </c>
      <c r="K11" s="13">
        <f t="shared" si="1"/>
        <v>2030</v>
      </c>
      <c r="L11" s="13">
        <f t="shared" si="1"/>
        <v>2031</v>
      </c>
      <c r="M11" s="13">
        <f t="shared" si="1"/>
        <v>2032</v>
      </c>
      <c r="N11" s="13">
        <f t="shared" si="1"/>
        <v>2033</v>
      </c>
      <c r="O11" s="13">
        <f t="shared" si="1"/>
        <v>2034</v>
      </c>
      <c r="P11" s="13">
        <f t="shared" si="1"/>
        <v>2035</v>
      </c>
      <c r="Q11" s="13">
        <f t="shared" si="1"/>
        <v>2036</v>
      </c>
      <c r="R11" s="13">
        <f t="shared" ref="R11" si="2">Q11+1</f>
        <v>2037</v>
      </c>
      <c r="S11" s="13">
        <f t="shared" ref="S11" si="3">R11+1</f>
        <v>2038</v>
      </c>
      <c r="T11" s="14">
        <f t="shared" ref="T11" si="4">S11+1</f>
        <v>2039</v>
      </c>
    </row>
    <row r="12" spans="2:20" ht="24.75" hidden="1" customHeight="1" outlineLevel="1" x14ac:dyDescent="0.3">
      <c r="B12" s="90"/>
      <c r="C12" s="88"/>
      <c r="D12" s="15"/>
      <c r="E12" s="16"/>
      <c r="F12" s="20"/>
      <c r="G12" s="54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63">
        <v>0</v>
      </c>
    </row>
    <row r="13" spans="2:20" ht="24.75" hidden="1" customHeight="1" outlineLevel="1" x14ac:dyDescent="0.3">
      <c r="B13" s="90"/>
      <c r="C13" s="88"/>
      <c r="D13" s="25"/>
      <c r="E13" s="26"/>
      <c r="F13" s="26"/>
      <c r="G13" s="21">
        <f>T11+1</f>
        <v>2040</v>
      </c>
      <c r="H13" s="17">
        <f>G13+1</f>
        <v>2041</v>
      </c>
      <c r="I13" s="17">
        <f t="shared" ref="I13:Q13" si="5">H13+1</f>
        <v>2042</v>
      </c>
      <c r="J13" s="17">
        <f t="shared" si="5"/>
        <v>2043</v>
      </c>
      <c r="K13" s="17">
        <f t="shared" si="5"/>
        <v>2044</v>
      </c>
      <c r="L13" s="17">
        <f t="shared" si="5"/>
        <v>2045</v>
      </c>
      <c r="M13" s="17">
        <f t="shared" si="5"/>
        <v>2046</v>
      </c>
      <c r="N13" s="17">
        <f t="shared" si="5"/>
        <v>2047</v>
      </c>
      <c r="O13" s="17">
        <f t="shared" si="5"/>
        <v>2048</v>
      </c>
      <c r="P13" s="17">
        <f t="shared" si="5"/>
        <v>2049</v>
      </c>
      <c r="Q13" s="17">
        <f t="shared" si="5"/>
        <v>2050</v>
      </c>
      <c r="R13" s="17">
        <f t="shared" ref="R13" si="6">Q13+1</f>
        <v>2051</v>
      </c>
      <c r="S13" s="17">
        <f t="shared" ref="S13" si="7">R13+1</f>
        <v>2052</v>
      </c>
      <c r="T13" s="18">
        <f t="shared" ref="T13" si="8">S13+1</f>
        <v>2053</v>
      </c>
    </row>
    <row r="14" spans="2:20" ht="24.75" hidden="1" customHeight="1" outlineLevel="1" thickBot="1" x14ac:dyDescent="0.35">
      <c r="B14" s="90"/>
      <c r="C14" s="88"/>
      <c r="D14" s="28"/>
      <c r="E14" s="29"/>
      <c r="F14" s="29"/>
      <c r="G14" s="64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3"/>
    </row>
    <row r="15" spans="2:20" ht="24.75" hidden="1" customHeight="1" outlineLevel="1" x14ac:dyDescent="0.3">
      <c r="B15" s="89" t="s">
        <v>3</v>
      </c>
      <c r="C15" s="87" t="s">
        <v>15</v>
      </c>
      <c r="D15" s="12">
        <v>2020</v>
      </c>
      <c r="E15" s="13">
        <f>D15+1</f>
        <v>2021</v>
      </c>
      <c r="F15" s="19">
        <f t="shared" ref="F15" si="9">E15+1</f>
        <v>2022</v>
      </c>
      <c r="G15" s="12">
        <v>2026</v>
      </c>
      <c r="H15" s="13">
        <f t="shared" ref="H15" si="10">G15+1</f>
        <v>2027</v>
      </c>
      <c r="I15" s="13">
        <f t="shared" ref="I15" si="11">H15+1</f>
        <v>2028</v>
      </c>
      <c r="J15" s="13">
        <f t="shared" ref="J15" si="12">I15+1</f>
        <v>2029</v>
      </c>
      <c r="K15" s="13">
        <f t="shared" ref="K15" si="13">J15+1</f>
        <v>2030</v>
      </c>
      <c r="L15" s="13">
        <f t="shared" ref="L15" si="14">K15+1</f>
        <v>2031</v>
      </c>
      <c r="M15" s="13">
        <f t="shared" ref="M15" si="15">L15+1</f>
        <v>2032</v>
      </c>
      <c r="N15" s="13">
        <f t="shared" ref="N15" si="16">M15+1</f>
        <v>2033</v>
      </c>
      <c r="O15" s="13">
        <f t="shared" ref="O15" si="17">N15+1</f>
        <v>2034</v>
      </c>
      <c r="P15" s="13">
        <f t="shared" ref="P15" si="18">O15+1</f>
        <v>2035</v>
      </c>
      <c r="Q15" s="13">
        <f t="shared" ref="Q15" si="19">P15+1</f>
        <v>2036</v>
      </c>
      <c r="R15" s="13">
        <f t="shared" ref="R15:T15" si="20">Q15+1</f>
        <v>2037</v>
      </c>
      <c r="S15" s="13">
        <f t="shared" si="20"/>
        <v>2038</v>
      </c>
      <c r="T15" s="14">
        <f t="shared" si="20"/>
        <v>2039</v>
      </c>
    </row>
    <row r="16" spans="2:20" ht="24.75" hidden="1" customHeight="1" outlineLevel="1" x14ac:dyDescent="0.3">
      <c r="B16" s="90"/>
      <c r="C16" s="88"/>
      <c r="D16" s="15"/>
      <c r="E16" s="16"/>
      <c r="F16" s="20"/>
      <c r="G16" s="54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63">
        <v>0</v>
      </c>
    </row>
    <row r="17" spans="2:20" ht="24.75" hidden="1" customHeight="1" outlineLevel="1" x14ac:dyDescent="0.3">
      <c r="B17" s="90"/>
      <c r="C17" s="88"/>
      <c r="D17" s="25"/>
      <c r="E17" s="26"/>
      <c r="F17" s="26"/>
      <c r="G17" s="21">
        <f>T15+1</f>
        <v>2040</v>
      </c>
      <c r="H17" s="17">
        <f>G17+1</f>
        <v>2041</v>
      </c>
      <c r="I17" s="17">
        <f t="shared" ref="I17" si="21">H17+1</f>
        <v>2042</v>
      </c>
      <c r="J17" s="17">
        <f t="shared" ref="J17" si="22">I17+1</f>
        <v>2043</v>
      </c>
      <c r="K17" s="17">
        <f t="shared" ref="K17" si="23">J17+1</f>
        <v>2044</v>
      </c>
      <c r="L17" s="17">
        <f t="shared" ref="L17" si="24">K17+1</f>
        <v>2045</v>
      </c>
      <c r="M17" s="17">
        <f t="shared" ref="M17" si="25">L17+1</f>
        <v>2046</v>
      </c>
      <c r="N17" s="17">
        <f t="shared" ref="N17" si="26">M17+1</f>
        <v>2047</v>
      </c>
      <c r="O17" s="17">
        <f t="shared" ref="O17" si="27">N17+1</f>
        <v>2048</v>
      </c>
      <c r="P17" s="17">
        <f t="shared" ref="P17:Q17" si="28">O17+1</f>
        <v>2049</v>
      </c>
      <c r="Q17" s="17">
        <f t="shared" si="28"/>
        <v>2050</v>
      </c>
      <c r="R17" s="17">
        <f t="shared" ref="R17" si="29">Q17+1</f>
        <v>2051</v>
      </c>
      <c r="S17" s="17">
        <f t="shared" ref="S17" si="30">R17+1</f>
        <v>2052</v>
      </c>
      <c r="T17" s="18">
        <f t="shared" ref="T17" si="31">S17+1</f>
        <v>2053</v>
      </c>
    </row>
    <row r="18" spans="2:20" ht="24.75" hidden="1" customHeight="1" outlineLevel="1" thickBot="1" x14ac:dyDescent="0.35">
      <c r="B18" s="90"/>
      <c r="C18" s="88"/>
      <c r="D18" s="28"/>
      <c r="E18" s="29"/>
      <c r="F18" s="29"/>
      <c r="G18" s="64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3"/>
    </row>
    <row r="19" spans="2:20" ht="22.5" customHeight="1" collapsed="1" thickBot="1" x14ac:dyDescent="0.35">
      <c r="B19" s="5" t="s">
        <v>4</v>
      </c>
      <c r="C19" s="9"/>
      <c r="D19" s="10"/>
      <c r="E19" s="10"/>
      <c r="F19" s="10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4"/>
    </row>
    <row r="20" spans="2:20" ht="27.75" customHeight="1" x14ac:dyDescent="0.3">
      <c r="B20" s="89" t="s">
        <v>5</v>
      </c>
      <c r="C20" s="87" t="s">
        <v>16</v>
      </c>
      <c r="D20" s="12">
        <v>2020</v>
      </c>
      <c r="E20" s="13">
        <f>D20+1</f>
        <v>2021</v>
      </c>
      <c r="F20" s="19">
        <f t="shared" ref="F20" si="32">E20+1</f>
        <v>2022</v>
      </c>
      <c r="G20" s="12">
        <f>G11</f>
        <v>2026</v>
      </c>
      <c r="H20" s="13">
        <f t="shared" ref="H20:T20" si="33">H11</f>
        <v>2027</v>
      </c>
      <c r="I20" s="13">
        <f t="shared" si="33"/>
        <v>2028</v>
      </c>
      <c r="J20" s="13">
        <f t="shared" si="33"/>
        <v>2029</v>
      </c>
      <c r="K20" s="13">
        <f t="shared" si="33"/>
        <v>2030</v>
      </c>
      <c r="L20" s="13">
        <f t="shared" si="33"/>
        <v>2031</v>
      </c>
      <c r="M20" s="13">
        <f>M11</f>
        <v>2032</v>
      </c>
      <c r="N20" s="13">
        <f t="shared" si="33"/>
        <v>2033</v>
      </c>
      <c r="O20" s="13">
        <f t="shared" si="33"/>
        <v>2034</v>
      </c>
      <c r="P20" s="13">
        <f t="shared" si="33"/>
        <v>2035</v>
      </c>
      <c r="Q20" s="13">
        <f t="shared" si="33"/>
        <v>2036</v>
      </c>
      <c r="R20" s="13">
        <f t="shared" si="33"/>
        <v>2037</v>
      </c>
      <c r="S20" s="13">
        <f t="shared" si="33"/>
        <v>2038</v>
      </c>
      <c r="T20" s="14">
        <f t="shared" si="33"/>
        <v>2039</v>
      </c>
    </row>
    <row r="21" spans="2:20" ht="27.75" customHeight="1" x14ac:dyDescent="0.3">
      <c r="B21" s="90"/>
      <c r="C21" s="88"/>
      <c r="D21" s="15"/>
      <c r="E21" s="16"/>
      <c r="F21" s="20"/>
      <c r="G21" s="56">
        <f>26/155.97</f>
        <v>0.16669872411361158</v>
      </c>
      <c r="H21" s="57">
        <f>(26-0.0562)/155.97</f>
        <v>0.16633839840995063</v>
      </c>
      <c r="I21" s="57">
        <f>(26-0.0562*2)/155.97</f>
        <v>0.16597807270628967</v>
      </c>
      <c r="J21" s="57">
        <f>(26-0.0562*3)/155.97</f>
        <v>0.16561774700262871</v>
      </c>
      <c r="K21" s="57">
        <f>(26-0.0562*4)/155.97</f>
        <v>0.16525742129896775</v>
      </c>
      <c r="L21" s="57">
        <f>(26-0.0562*5)/155.97</f>
        <v>0.1648970955953068</v>
      </c>
      <c r="M21" s="57">
        <f>(26-0.0562*6)/155.97</f>
        <v>0.16453676989164584</v>
      </c>
      <c r="N21" s="57">
        <f>(26-0.0562*7)/155.97</f>
        <v>0.16417644418798488</v>
      </c>
      <c r="O21" s="57">
        <f>(26-0.0562*8)/155.97</f>
        <v>0.1638161184843239</v>
      </c>
      <c r="P21" s="57">
        <f>(26-0.0562*9)/155.97</f>
        <v>0.16345579278066294</v>
      </c>
      <c r="Q21" s="57">
        <f>(26-0.0562*10)/155.97</f>
        <v>0.16309546707700198</v>
      </c>
      <c r="R21" s="57">
        <f>(26-0.0562*11)/155.97</f>
        <v>0.16273514137334102</v>
      </c>
      <c r="S21" s="57">
        <f>(26-0.0562*12)/155.97</f>
        <v>0.16237481566968007</v>
      </c>
      <c r="T21" s="58">
        <f>(26-0.0562*13)/155.97</f>
        <v>0.16201448996601911</v>
      </c>
    </row>
    <row r="22" spans="2:20" ht="27.75" customHeight="1" x14ac:dyDescent="0.3">
      <c r="B22" s="90"/>
      <c r="C22" s="88"/>
      <c r="D22" s="25"/>
      <c r="E22" s="26"/>
      <c r="F22" s="26"/>
      <c r="G22" s="21">
        <f>G13</f>
        <v>2040</v>
      </c>
      <c r="H22" s="17">
        <f t="shared" ref="H22:T22" si="34">H13</f>
        <v>2041</v>
      </c>
      <c r="I22" s="17">
        <f t="shared" si="34"/>
        <v>2042</v>
      </c>
      <c r="J22" s="17">
        <f t="shared" si="34"/>
        <v>2043</v>
      </c>
      <c r="K22" s="17">
        <f t="shared" si="34"/>
        <v>2044</v>
      </c>
      <c r="L22" s="17">
        <f t="shared" si="34"/>
        <v>2045</v>
      </c>
      <c r="M22" s="17">
        <f t="shared" si="34"/>
        <v>2046</v>
      </c>
      <c r="N22" s="17">
        <f t="shared" si="34"/>
        <v>2047</v>
      </c>
      <c r="O22" s="17">
        <f t="shared" si="34"/>
        <v>2048</v>
      </c>
      <c r="P22" s="17">
        <f t="shared" si="34"/>
        <v>2049</v>
      </c>
      <c r="Q22" s="17">
        <f t="shared" si="34"/>
        <v>2050</v>
      </c>
      <c r="R22" s="17">
        <f t="shared" si="34"/>
        <v>2051</v>
      </c>
      <c r="S22" s="17">
        <f t="shared" si="34"/>
        <v>2052</v>
      </c>
      <c r="T22" s="18">
        <f t="shared" si="34"/>
        <v>2053</v>
      </c>
    </row>
    <row r="23" spans="2:20" ht="27.75" customHeight="1" thickBot="1" x14ac:dyDescent="0.35">
      <c r="B23" s="90"/>
      <c r="C23" s="88"/>
      <c r="D23" s="28"/>
      <c r="E23" s="29"/>
      <c r="F23" s="29"/>
      <c r="G23" s="59">
        <f>(26-0.0562*14)/155.97</f>
        <v>0.16165416426235815</v>
      </c>
      <c r="H23" s="60">
        <f>(26-0.0562*15)/155.97</f>
        <v>0.16129383855869719</v>
      </c>
      <c r="I23" s="60">
        <f>(26-0.0562*16)/155.97</f>
        <v>0.16093351285503624</v>
      </c>
      <c r="J23" s="60">
        <f>(26-0.0562*17)/155.97</f>
        <v>0.16057318715137525</v>
      </c>
      <c r="K23" s="60">
        <f>(26-0.0562*18)/155.97</f>
        <v>0.16021286144771429</v>
      </c>
      <c r="L23" s="60">
        <f>(26-0.0562*19)/155.97</f>
        <v>0.15985253574405336</v>
      </c>
      <c r="M23" s="60">
        <f>(26-0.0562*20)/155.97</f>
        <v>0.15949221004039238</v>
      </c>
      <c r="N23" s="60">
        <f>(26-0.0562*21)/155.97</f>
        <v>0.15913188433673142</v>
      </c>
      <c r="O23" s="60">
        <f>(26-0.0562*22)/155.97</f>
        <v>0.15877155863307046</v>
      </c>
      <c r="P23" s="60">
        <f>(26-0.0562*23)/155.97</f>
        <v>0.15841123292940951</v>
      </c>
      <c r="Q23" s="60">
        <f>(26-0.0562*24)/155.97</f>
        <v>0.15805090722574855</v>
      </c>
      <c r="R23" s="60">
        <f>(26-0.0562*25)/155.97</f>
        <v>0.15769058152208756</v>
      </c>
      <c r="S23" s="60">
        <f>(26-0.0562*26)/155.97</f>
        <v>0.15733025581842661</v>
      </c>
      <c r="T23" s="50"/>
    </row>
    <row r="24" spans="2:20" ht="22.5" customHeight="1" thickBot="1" x14ac:dyDescent="0.35">
      <c r="B24" s="5" t="s">
        <v>6</v>
      </c>
      <c r="C24" s="6"/>
      <c r="D24" s="11"/>
      <c r="E24" s="11"/>
      <c r="F24" s="11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75"/>
    </row>
    <row r="25" spans="2:20" ht="22.5" customHeight="1" x14ac:dyDescent="0.3">
      <c r="B25" s="89" t="s">
        <v>22</v>
      </c>
      <c r="C25" s="87" t="s">
        <v>15</v>
      </c>
      <c r="D25" s="12">
        <v>2020</v>
      </c>
      <c r="E25" s="13">
        <f>D25+1</f>
        <v>2021</v>
      </c>
      <c r="F25" s="19">
        <f t="shared" ref="F25" si="35">E25+1</f>
        <v>2022</v>
      </c>
      <c r="G25" s="12">
        <f>G11</f>
        <v>2026</v>
      </c>
      <c r="H25" s="13">
        <f t="shared" ref="H25:T25" si="36">H11</f>
        <v>2027</v>
      </c>
      <c r="I25" s="13">
        <f t="shared" si="36"/>
        <v>2028</v>
      </c>
      <c r="J25" s="13">
        <f t="shared" si="36"/>
        <v>2029</v>
      </c>
      <c r="K25" s="13">
        <f t="shared" si="36"/>
        <v>2030</v>
      </c>
      <c r="L25" s="13">
        <f t="shared" si="36"/>
        <v>2031</v>
      </c>
      <c r="M25" s="13">
        <f t="shared" si="36"/>
        <v>2032</v>
      </c>
      <c r="N25" s="13">
        <f t="shared" si="36"/>
        <v>2033</v>
      </c>
      <c r="O25" s="13">
        <f t="shared" si="36"/>
        <v>2034</v>
      </c>
      <c r="P25" s="13">
        <f t="shared" si="36"/>
        <v>2035</v>
      </c>
      <c r="Q25" s="13">
        <f t="shared" si="36"/>
        <v>2036</v>
      </c>
      <c r="R25" s="13">
        <f t="shared" si="36"/>
        <v>2037</v>
      </c>
      <c r="S25" s="13">
        <f t="shared" si="36"/>
        <v>2038</v>
      </c>
      <c r="T25" s="14">
        <f t="shared" si="36"/>
        <v>2039</v>
      </c>
    </row>
    <row r="26" spans="2:20" ht="22.5" customHeight="1" x14ac:dyDescent="0.3">
      <c r="B26" s="90"/>
      <c r="C26" s="88"/>
      <c r="D26" s="15"/>
      <c r="E26" s="16"/>
      <c r="F26" s="20"/>
      <c r="G26" s="61">
        <v>17.149999999999999</v>
      </c>
      <c r="H26" s="41">
        <f t="shared" ref="H26:T26" si="37">G26-0.0371</f>
        <v>17.1129</v>
      </c>
      <c r="I26" s="41">
        <f t="shared" si="37"/>
        <v>17.075800000000001</v>
      </c>
      <c r="J26" s="41">
        <f t="shared" si="37"/>
        <v>17.038700000000002</v>
      </c>
      <c r="K26" s="41">
        <f t="shared" si="37"/>
        <v>17.001600000000003</v>
      </c>
      <c r="L26" s="41">
        <f t="shared" si="37"/>
        <v>16.964500000000005</v>
      </c>
      <c r="M26" s="41">
        <f t="shared" si="37"/>
        <v>16.927400000000006</v>
      </c>
      <c r="N26" s="41">
        <f t="shared" si="37"/>
        <v>16.890300000000007</v>
      </c>
      <c r="O26" s="41">
        <f t="shared" si="37"/>
        <v>16.853200000000008</v>
      </c>
      <c r="P26" s="41">
        <f t="shared" si="37"/>
        <v>16.816100000000009</v>
      </c>
      <c r="Q26" s="41">
        <f t="shared" si="37"/>
        <v>16.779000000000011</v>
      </c>
      <c r="R26" s="41">
        <f t="shared" si="37"/>
        <v>16.741900000000012</v>
      </c>
      <c r="S26" s="41">
        <f t="shared" si="37"/>
        <v>16.704800000000013</v>
      </c>
      <c r="T26" s="42">
        <f t="shared" si="37"/>
        <v>16.667700000000014</v>
      </c>
    </row>
    <row r="27" spans="2:20" ht="22.5" customHeight="1" x14ac:dyDescent="0.3">
      <c r="B27" s="90"/>
      <c r="C27" s="88"/>
      <c r="D27" s="25"/>
      <c r="E27" s="26"/>
      <c r="F27" s="26"/>
      <c r="G27" s="21">
        <f>T25+1</f>
        <v>2040</v>
      </c>
      <c r="H27" s="17">
        <f>G27+1</f>
        <v>2041</v>
      </c>
      <c r="I27" s="17">
        <f t="shared" ref="I27:Q27" si="38">H27+1</f>
        <v>2042</v>
      </c>
      <c r="J27" s="17">
        <f t="shared" si="38"/>
        <v>2043</v>
      </c>
      <c r="K27" s="17">
        <f t="shared" si="38"/>
        <v>2044</v>
      </c>
      <c r="L27" s="17">
        <f t="shared" si="38"/>
        <v>2045</v>
      </c>
      <c r="M27" s="17">
        <f t="shared" si="38"/>
        <v>2046</v>
      </c>
      <c r="N27" s="17">
        <f t="shared" si="38"/>
        <v>2047</v>
      </c>
      <c r="O27" s="17">
        <f t="shared" si="38"/>
        <v>2048</v>
      </c>
      <c r="P27" s="17">
        <f t="shared" si="38"/>
        <v>2049</v>
      </c>
      <c r="Q27" s="17">
        <f t="shared" si="38"/>
        <v>2050</v>
      </c>
      <c r="R27" s="17">
        <f t="shared" ref="R27" si="39">Q27+1</f>
        <v>2051</v>
      </c>
      <c r="S27" s="17">
        <f t="shared" ref="S27" si="40">R27+1</f>
        <v>2052</v>
      </c>
      <c r="T27" s="18">
        <f t="shared" ref="T27" si="41">S27+1</f>
        <v>2053</v>
      </c>
    </row>
    <row r="28" spans="2:20" ht="22.5" customHeight="1" thickBot="1" x14ac:dyDescent="0.35">
      <c r="B28" s="93"/>
      <c r="C28" s="92"/>
      <c r="D28" s="7"/>
      <c r="E28" s="8"/>
      <c r="F28" s="8"/>
      <c r="G28" s="62">
        <f>T26-0.0371</f>
        <v>16.630600000000015</v>
      </c>
      <c r="H28" s="33">
        <f t="shared" ref="H28:S28" si="42">G28-0.0371</f>
        <v>16.593500000000017</v>
      </c>
      <c r="I28" s="33">
        <f t="shared" si="42"/>
        <v>16.556400000000018</v>
      </c>
      <c r="J28" s="33">
        <f t="shared" si="42"/>
        <v>16.519300000000019</v>
      </c>
      <c r="K28" s="33">
        <f t="shared" si="42"/>
        <v>16.48220000000002</v>
      </c>
      <c r="L28" s="33">
        <f t="shared" si="42"/>
        <v>16.445100000000021</v>
      </c>
      <c r="M28" s="33">
        <f t="shared" si="42"/>
        <v>16.408000000000023</v>
      </c>
      <c r="N28" s="33">
        <f t="shared" si="42"/>
        <v>16.370900000000024</v>
      </c>
      <c r="O28" s="33">
        <f t="shared" si="42"/>
        <v>16.333800000000025</v>
      </c>
      <c r="P28" s="33">
        <f t="shared" si="42"/>
        <v>16.296700000000026</v>
      </c>
      <c r="Q28" s="33">
        <f t="shared" si="42"/>
        <v>16.259600000000027</v>
      </c>
      <c r="R28" s="33">
        <f t="shared" si="42"/>
        <v>16.222500000000029</v>
      </c>
      <c r="S28" s="33">
        <f t="shared" si="42"/>
        <v>16.18540000000003</v>
      </c>
      <c r="T28" s="40"/>
    </row>
    <row r="29" spans="2:20" ht="22.5" hidden="1" customHeight="1" outlineLevel="1" x14ac:dyDescent="0.3">
      <c r="B29" s="89" t="s">
        <v>23</v>
      </c>
      <c r="C29" s="87" t="s">
        <v>15</v>
      </c>
      <c r="D29" s="12">
        <v>2020</v>
      </c>
      <c r="E29" s="13">
        <f>D29+1</f>
        <v>2021</v>
      </c>
      <c r="F29" s="19">
        <f t="shared" ref="F29" si="43">E29+1</f>
        <v>2022</v>
      </c>
      <c r="G29" s="12">
        <f>G25</f>
        <v>2026</v>
      </c>
      <c r="H29" s="13">
        <f t="shared" ref="H29:T29" si="44">H25</f>
        <v>2027</v>
      </c>
      <c r="I29" s="13">
        <f t="shared" si="44"/>
        <v>2028</v>
      </c>
      <c r="J29" s="13">
        <f t="shared" si="44"/>
        <v>2029</v>
      </c>
      <c r="K29" s="13">
        <f t="shared" si="44"/>
        <v>2030</v>
      </c>
      <c r="L29" s="13">
        <f t="shared" si="44"/>
        <v>2031</v>
      </c>
      <c r="M29" s="13">
        <f t="shared" si="44"/>
        <v>2032</v>
      </c>
      <c r="N29" s="13">
        <f t="shared" si="44"/>
        <v>2033</v>
      </c>
      <c r="O29" s="13">
        <f t="shared" si="44"/>
        <v>2034</v>
      </c>
      <c r="P29" s="13">
        <f t="shared" si="44"/>
        <v>2035</v>
      </c>
      <c r="Q29" s="13">
        <f t="shared" si="44"/>
        <v>2036</v>
      </c>
      <c r="R29" s="13">
        <f t="shared" si="44"/>
        <v>2037</v>
      </c>
      <c r="S29" s="13">
        <f t="shared" si="44"/>
        <v>2038</v>
      </c>
      <c r="T29" s="14">
        <f t="shared" si="44"/>
        <v>2039</v>
      </c>
    </row>
    <row r="30" spans="2:20" ht="22.5" hidden="1" customHeight="1" outlineLevel="1" x14ac:dyDescent="0.3">
      <c r="B30" s="90"/>
      <c r="C30" s="88"/>
      <c r="D30" s="15"/>
      <c r="E30" s="16"/>
      <c r="F30" s="20"/>
      <c r="G30" s="61">
        <v>10.82</v>
      </c>
      <c r="H30" s="41">
        <v>10.82</v>
      </c>
      <c r="I30" s="41">
        <v>10.82</v>
      </c>
      <c r="J30" s="41">
        <v>10.82</v>
      </c>
      <c r="K30" s="41">
        <v>10.82</v>
      </c>
      <c r="L30" s="41">
        <v>10.82</v>
      </c>
      <c r="M30" s="41">
        <v>10.82</v>
      </c>
      <c r="N30" s="41">
        <v>10.82</v>
      </c>
      <c r="O30" s="41">
        <v>10.82</v>
      </c>
      <c r="P30" s="41">
        <v>10.82</v>
      </c>
      <c r="Q30" s="41">
        <v>10.82</v>
      </c>
      <c r="R30" s="41">
        <v>10.82</v>
      </c>
      <c r="S30" s="41">
        <v>10.82</v>
      </c>
      <c r="T30" s="42">
        <v>10.82</v>
      </c>
    </row>
    <row r="31" spans="2:20" ht="22.5" hidden="1" customHeight="1" outlineLevel="1" x14ac:dyDescent="0.3">
      <c r="B31" s="90"/>
      <c r="C31" s="88"/>
      <c r="D31" s="25"/>
      <c r="E31" s="26"/>
      <c r="F31" s="26"/>
      <c r="G31" s="21">
        <f>T29+1</f>
        <v>2040</v>
      </c>
      <c r="H31" s="17">
        <f>G31+1</f>
        <v>2041</v>
      </c>
      <c r="I31" s="17">
        <f t="shared" ref="I31" si="45">H31+1</f>
        <v>2042</v>
      </c>
      <c r="J31" s="17">
        <f t="shared" ref="J31" si="46">I31+1</f>
        <v>2043</v>
      </c>
      <c r="K31" s="17">
        <f t="shared" ref="K31" si="47">J31+1</f>
        <v>2044</v>
      </c>
      <c r="L31" s="17">
        <f t="shared" ref="L31" si="48">K31+1</f>
        <v>2045</v>
      </c>
      <c r="M31" s="17">
        <f t="shared" ref="M31" si="49">L31+1</f>
        <v>2046</v>
      </c>
      <c r="N31" s="17">
        <f t="shared" ref="N31" si="50">M31+1</f>
        <v>2047</v>
      </c>
      <c r="O31" s="17">
        <f t="shared" ref="O31" si="51">N31+1</f>
        <v>2048</v>
      </c>
      <c r="P31" s="17">
        <f t="shared" ref="P31:Q31" si="52">O31+1</f>
        <v>2049</v>
      </c>
      <c r="Q31" s="17">
        <f t="shared" si="52"/>
        <v>2050</v>
      </c>
      <c r="R31" s="17">
        <f t="shared" ref="R31" si="53">Q31+1</f>
        <v>2051</v>
      </c>
      <c r="S31" s="17">
        <f t="shared" ref="S31" si="54">R31+1</f>
        <v>2052</v>
      </c>
      <c r="T31" s="18">
        <f t="shared" ref="T31" si="55">S31+1</f>
        <v>2053</v>
      </c>
    </row>
    <row r="32" spans="2:20" ht="22.5" hidden="1" customHeight="1" outlineLevel="1" thickBot="1" x14ac:dyDescent="0.35">
      <c r="B32" s="90"/>
      <c r="C32" s="88"/>
      <c r="D32" s="28"/>
      <c r="E32" s="29"/>
      <c r="F32" s="29"/>
      <c r="G32" s="62">
        <v>10.82</v>
      </c>
      <c r="H32" s="33">
        <v>10.82</v>
      </c>
      <c r="I32" s="33">
        <v>10.82</v>
      </c>
      <c r="J32" s="33">
        <v>10.82</v>
      </c>
      <c r="K32" s="33">
        <v>10.82</v>
      </c>
      <c r="L32" s="33">
        <v>10.82</v>
      </c>
      <c r="M32" s="33">
        <v>10.82</v>
      </c>
      <c r="N32" s="33">
        <v>10.82</v>
      </c>
      <c r="O32" s="33">
        <v>10.82</v>
      </c>
      <c r="P32" s="33">
        <v>10.82</v>
      </c>
      <c r="Q32" s="33">
        <v>10.82</v>
      </c>
      <c r="R32" s="33">
        <v>10.82</v>
      </c>
      <c r="S32" s="33">
        <v>10.82</v>
      </c>
      <c r="T32" s="40"/>
    </row>
    <row r="33" spans="2:20" ht="22.5" hidden="1" customHeight="1" outlineLevel="1" x14ac:dyDescent="0.3">
      <c r="B33" s="89" t="s">
        <v>7</v>
      </c>
      <c r="C33" s="87" t="s">
        <v>19</v>
      </c>
      <c r="D33" s="12">
        <v>2020</v>
      </c>
      <c r="E33" s="13">
        <f>D33+1</f>
        <v>2021</v>
      </c>
      <c r="F33" s="19">
        <f t="shared" ref="F33" si="56">E33+1</f>
        <v>2022</v>
      </c>
      <c r="G33" s="12">
        <f>G29</f>
        <v>2026</v>
      </c>
      <c r="H33" s="13">
        <f t="shared" ref="H33:T33" si="57">H29</f>
        <v>2027</v>
      </c>
      <c r="I33" s="13">
        <f t="shared" si="57"/>
        <v>2028</v>
      </c>
      <c r="J33" s="13">
        <f t="shared" si="57"/>
        <v>2029</v>
      </c>
      <c r="K33" s="13">
        <f t="shared" si="57"/>
        <v>2030</v>
      </c>
      <c r="L33" s="13">
        <f t="shared" si="57"/>
        <v>2031</v>
      </c>
      <c r="M33" s="13">
        <f t="shared" si="57"/>
        <v>2032</v>
      </c>
      <c r="N33" s="13">
        <f t="shared" si="57"/>
        <v>2033</v>
      </c>
      <c r="O33" s="13">
        <f t="shared" si="57"/>
        <v>2034</v>
      </c>
      <c r="P33" s="13">
        <f t="shared" si="57"/>
        <v>2035</v>
      </c>
      <c r="Q33" s="13">
        <f t="shared" si="57"/>
        <v>2036</v>
      </c>
      <c r="R33" s="13">
        <f t="shared" si="57"/>
        <v>2037</v>
      </c>
      <c r="S33" s="13">
        <f t="shared" si="57"/>
        <v>2038</v>
      </c>
      <c r="T33" s="14">
        <f t="shared" si="57"/>
        <v>2039</v>
      </c>
    </row>
    <row r="34" spans="2:20" ht="22.5" hidden="1" customHeight="1" outlineLevel="1" x14ac:dyDescent="0.3">
      <c r="B34" s="90"/>
      <c r="C34" s="88"/>
      <c r="D34" s="15"/>
      <c r="E34" s="16"/>
      <c r="F34" s="20"/>
      <c r="G34" s="61">
        <v>0.7</v>
      </c>
      <c r="H34" s="41">
        <v>0.7</v>
      </c>
      <c r="I34" s="41">
        <v>0.7</v>
      </c>
      <c r="J34" s="41">
        <v>0.7</v>
      </c>
      <c r="K34" s="41">
        <v>0.7</v>
      </c>
      <c r="L34" s="41">
        <v>0.7</v>
      </c>
      <c r="M34" s="41">
        <v>0.7</v>
      </c>
      <c r="N34" s="41">
        <v>0.7</v>
      </c>
      <c r="O34" s="41">
        <v>0.7</v>
      </c>
      <c r="P34" s="41">
        <v>0.7</v>
      </c>
      <c r="Q34" s="41">
        <v>0.7</v>
      </c>
      <c r="R34" s="41">
        <v>0.7</v>
      </c>
      <c r="S34" s="41">
        <v>0.7</v>
      </c>
      <c r="T34" s="42">
        <v>0.7</v>
      </c>
    </row>
    <row r="35" spans="2:20" ht="22.5" hidden="1" customHeight="1" outlineLevel="1" x14ac:dyDescent="0.3">
      <c r="B35" s="90"/>
      <c r="C35" s="88"/>
      <c r="D35" s="25"/>
      <c r="E35" s="26"/>
      <c r="F35" s="26"/>
      <c r="G35" s="21">
        <f>T33+1</f>
        <v>2040</v>
      </c>
      <c r="H35" s="17">
        <f>G35+1</f>
        <v>2041</v>
      </c>
      <c r="I35" s="17">
        <f t="shared" ref="I35:Q35" si="58">H35+1</f>
        <v>2042</v>
      </c>
      <c r="J35" s="17">
        <f t="shared" si="58"/>
        <v>2043</v>
      </c>
      <c r="K35" s="17">
        <f t="shared" si="58"/>
        <v>2044</v>
      </c>
      <c r="L35" s="17">
        <f t="shared" si="58"/>
        <v>2045</v>
      </c>
      <c r="M35" s="17">
        <f t="shared" si="58"/>
        <v>2046</v>
      </c>
      <c r="N35" s="17">
        <f t="shared" si="58"/>
        <v>2047</v>
      </c>
      <c r="O35" s="17">
        <f t="shared" si="58"/>
        <v>2048</v>
      </c>
      <c r="P35" s="17">
        <f t="shared" si="58"/>
        <v>2049</v>
      </c>
      <c r="Q35" s="17">
        <f t="shared" si="58"/>
        <v>2050</v>
      </c>
      <c r="R35" s="17">
        <f t="shared" ref="R35" si="59">Q35+1</f>
        <v>2051</v>
      </c>
      <c r="S35" s="17">
        <f t="shared" ref="S35" si="60">R35+1</f>
        <v>2052</v>
      </c>
      <c r="T35" s="18">
        <f t="shared" ref="T35" si="61">S35+1</f>
        <v>2053</v>
      </c>
    </row>
    <row r="36" spans="2:20" ht="22.5" hidden="1" customHeight="1" outlineLevel="1" thickBot="1" x14ac:dyDescent="0.35">
      <c r="B36" s="90"/>
      <c r="C36" s="88"/>
      <c r="D36" s="28"/>
      <c r="E36" s="29"/>
      <c r="F36" s="29"/>
      <c r="G36" s="62">
        <v>0.7</v>
      </c>
      <c r="H36" s="33">
        <v>0.7</v>
      </c>
      <c r="I36" s="33">
        <v>0.7</v>
      </c>
      <c r="J36" s="33">
        <v>0.7</v>
      </c>
      <c r="K36" s="33">
        <v>0.7</v>
      </c>
      <c r="L36" s="33">
        <v>0.7</v>
      </c>
      <c r="M36" s="33">
        <v>0.7</v>
      </c>
      <c r="N36" s="33">
        <v>0.7</v>
      </c>
      <c r="O36" s="33">
        <v>0.7</v>
      </c>
      <c r="P36" s="33">
        <v>0.7</v>
      </c>
      <c r="Q36" s="33">
        <v>0.7</v>
      </c>
      <c r="R36" s="33">
        <v>0.7</v>
      </c>
      <c r="S36" s="33">
        <v>0.7</v>
      </c>
      <c r="T36" s="40"/>
    </row>
    <row r="37" spans="2:20" ht="22.5" hidden="1" customHeight="1" outlineLevel="1" x14ac:dyDescent="0.3">
      <c r="B37" s="85" t="s">
        <v>8</v>
      </c>
      <c r="C37" s="87" t="s">
        <v>19</v>
      </c>
      <c r="D37" s="12">
        <v>2020</v>
      </c>
      <c r="E37" s="13">
        <f>D37+1</f>
        <v>2021</v>
      </c>
      <c r="F37" s="19">
        <f t="shared" ref="F37" si="62">E37+1</f>
        <v>2022</v>
      </c>
      <c r="G37" s="12">
        <f>G33</f>
        <v>2026</v>
      </c>
      <c r="H37" s="13">
        <f t="shared" ref="H37:T37" si="63">H33</f>
        <v>2027</v>
      </c>
      <c r="I37" s="13">
        <f t="shared" si="63"/>
        <v>2028</v>
      </c>
      <c r="J37" s="13">
        <f t="shared" si="63"/>
        <v>2029</v>
      </c>
      <c r="K37" s="13">
        <f t="shared" si="63"/>
        <v>2030</v>
      </c>
      <c r="L37" s="13">
        <f t="shared" si="63"/>
        <v>2031</v>
      </c>
      <c r="M37" s="13">
        <f t="shared" si="63"/>
        <v>2032</v>
      </c>
      <c r="N37" s="13">
        <f t="shared" si="63"/>
        <v>2033</v>
      </c>
      <c r="O37" s="13">
        <f t="shared" si="63"/>
        <v>2034</v>
      </c>
      <c r="P37" s="13">
        <f t="shared" si="63"/>
        <v>2035</v>
      </c>
      <c r="Q37" s="13">
        <f t="shared" si="63"/>
        <v>2036</v>
      </c>
      <c r="R37" s="13">
        <f t="shared" si="63"/>
        <v>2037</v>
      </c>
      <c r="S37" s="13">
        <f t="shared" si="63"/>
        <v>2038</v>
      </c>
      <c r="T37" s="14">
        <f t="shared" si="63"/>
        <v>2039</v>
      </c>
    </row>
    <row r="38" spans="2:20" ht="22.5" hidden="1" customHeight="1" outlineLevel="1" x14ac:dyDescent="0.3">
      <c r="B38" s="86"/>
      <c r="C38" s="88"/>
      <c r="D38" s="15"/>
      <c r="E38" s="16"/>
      <c r="F38" s="20"/>
      <c r="G38" s="61">
        <v>0.5</v>
      </c>
      <c r="H38" s="41">
        <v>0.5</v>
      </c>
      <c r="I38" s="41">
        <v>0.5</v>
      </c>
      <c r="J38" s="41">
        <v>0.5</v>
      </c>
      <c r="K38" s="41">
        <v>0.5</v>
      </c>
      <c r="L38" s="41">
        <v>0.5</v>
      </c>
      <c r="M38" s="41">
        <v>0.5</v>
      </c>
      <c r="N38" s="41">
        <v>0.5</v>
      </c>
      <c r="O38" s="41">
        <v>0.5</v>
      </c>
      <c r="P38" s="41">
        <v>0.5</v>
      </c>
      <c r="Q38" s="41">
        <v>0.5</v>
      </c>
      <c r="R38" s="41">
        <v>0.5</v>
      </c>
      <c r="S38" s="41">
        <v>0.5</v>
      </c>
      <c r="T38" s="42">
        <v>0.5</v>
      </c>
    </row>
    <row r="39" spans="2:20" ht="22.5" hidden="1" customHeight="1" outlineLevel="1" x14ac:dyDescent="0.3">
      <c r="B39" s="86"/>
      <c r="C39" s="88"/>
      <c r="D39" s="25"/>
      <c r="E39" s="26"/>
      <c r="F39" s="26"/>
      <c r="G39" s="21">
        <f>T37+1</f>
        <v>2040</v>
      </c>
      <c r="H39" s="17">
        <f>G39+1</f>
        <v>2041</v>
      </c>
      <c r="I39" s="17">
        <f t="shared" ref="I39:Q39" si="64">H39+1</f>
        <v>2042</v>
      </c>
      <c r="J39" s="17">
        <f t="shared" si="64"/>
        <v>2043</v>
      </c>
      <c r="K39" s="17">
        <f t="shared" si="64"/>
        <v>2044</v>
      </c>
      <c r="L39" s="17">
        <f t="shared" si="64"/>
        <v>2045</v>
      </c>
      <c r="M39" s="17">
        <f t="shared" si="64"/>
        <v>2046</v>
      </c>
      <c r="N39" s="17">
        <f t="shared" si="64"/>
        <v>2047</v>
      </c>
      <c r="O39" s="17">
        <f t="shared" si="64"/>
        <v>2048</v>
      </c>
      <c r="P39" s="17">
        <f t="shared" si="64"/>
        <v>2049</v>
      </c>
      <c r="Q39" s="17">
        <f t="shared" si="64"/>
        <v>2050</v>
      </c>
      <c r="R39" s="17">
        <f t="shared" ref="R39" si="65">Q39+1</f>
        <v>2051</v>
      </c>
      <c r="S39" s="17">
        <f t="shared" ref="S39" si="66">R39+1</f>
        <v>2052</v>
      </c>
      <c r="T39" s="18">
        <f t="shared" ref="T39" si="67">S39+1</f>
        <v>2053</v>
      </c>
    </row>
    <row r="40" spans="2:20" ht="22.5" hidden="1" customHeight="1" outlineLevel="1" thickBot="1" x14ac:dyDescent="0.35">
      <c r="B40" s="91"/>
      <c r="C40" s="92"/>
      <c r="D40" s="7"/>
      <c r="E40" s="8"/>
      <c r="F40" s="8"/>
      <c r="G40" s="62">
        <v>0.5</v>
      </c>
      <c r="H40" s="33">
        <v>0.5</v>
      </c>
      <c r="I40" s="33">
        <v>0.5</v>
      </c>
      <c r="J40" s="33">
        <v>0.5</v>
      </c>
      <c r="K40" s="33">
        <v>0.5</v>
      </c>
      <c r="L40" s="33">
        <v>0.5</v>
      </c>
      <c r="M40" s="33">
        <v>0.5</v>
      </c>
      <c r="N40" s="33">
        <v>0.5</v>
      </c>
      <c r="O40" s="33">
        <v>0.5</v>
      </c>
      <c r="P40" s="33">
        <v>0.5</v>
      </c>
      <c r="Q40" s="33">
        <v>0.5</v>
      </c>
      <c r="R40" s="33">
        <v>0.5</v>
      </c>
      <c r="S40" s="33">
        <v>0.5</v>
      </c>
      <c r="T40" s="40"/>
    </row>
    <row r="41" spans="2:20" ht="15.6" collapsed="1" x14ac:dyDescent="0.3">
      <c r="B41" s="34"/>
      <c r="C41" s="35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0" s="37" customFormat="1" ht="18" x14ac:dyDescent="0.35">
      <c r="D42" s="1"/>
      <c r="E42" s="1"/>
      <c r="F42" s="1"/>
      <c r="G42" s="1"/>
      <c r="L42" s="1"/>
    </row>
    <row r="43" spans="2:20" s="37" customFormat="1" ht="18" x14ac:dyDescent="0.35">
      <c r="B43" s="77" t="s">
        <v>29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</row>
    <row r="44" spans="2:20" s="1" customFormat="1" ht="17.399999999999999" x14ac:dyDescent="0.3">
      <c r="C44" s="78"/>
      <c r="D44" s="78"/>
      <c r="E44" s="78"/>
      <c r="F44" s="78"/>
      <c r="G44" s="78"/>
      <c r="H44" s="78"/>
      <c r="I44" s="78"/>
      <c r="K44" s="81"/>
      <c r="L44" s="81"/>
      <c r="M44" s="81"/>
      <c r="N44" s="81"/>
      <c r="P44" s="78"/>
      <c r="Q44" s="78"/>
      <c r="R44" s="78"/>
      <c r="S44" s="78"/>
      <c r="T44" s="78"/>
    </row>
    <row r="45" spans="2:20" s="37" customFormat="1" ht="18" x14ac:dyDescent="0.35">
      <c r="L45" s="38"/>
    </row>
    <row r="46" spans="2:20" s="37" customFormat="1" ht="39.75" customHeight="1" x14ac:dyDescent="0.35">
      <c r="C46" s="79"/>
      <c r="D46" s="79"/>
      <c r="E46" s="79"/>
      <c r="F46" s="79"/>
      <c r="G46" s="79"/>
      <c r="H46" s="79"/>
      <c r="I46" s="79"/>
      <c r="J46" s="2"/>
      <c r="K46" s="79"/>
      <c r="L46" s="79"/>
      <c r="M46" s="79"/>
      <c r="N46" s="79"/>
      <c r="P46" s="79"/>
      <c r="Q46" s="79"/>
      <c r="R46" s="79"/>
      <c r="S46" s="79"/>
      <c r="T46" s="79"/>
    </row>
    <row r="47" spans="2:20" s="37" customFormat="1" ht="18" x14ac:dyDescent="0.35">
      <c r="L47" s="38"/>
    </row>
    <row r="48" spans="2:20" s="37" customFormat="1" ht="18" x14ac:dyDescent="0.35">
      <c r="L48" s="38"/>
    </row>
    <row r="49" spans="2:20" s="37" customFormat="1" ht="18" x14ac:dyDescent="0.35">
      <c r="C49" s="80"/>
      <c r="D49" s="80"/>
      <c r="E49" s="80"/>
      <c r="F49" s="80"/>
      <c r="G49" s="80"/>
      <c r="H49" s="80"/>
      <c r="I49" s="80"/>
      <c r="K49" s="80"/>
      <c r="L49" s="80"/>
      <c r="M49" s="80"/>
      <c r="N49" s="80"/>
      <c r="P49" s="77"/>
      <c r="Q49" s="77"/>
      <c r="R49" s="77"/>
      <c r="S49" s="77"/>
      <c r="T49" s="77"/>
    </row>
    <row r="50" spans="2:20" s="37" customFormat="1" ht="18" x14ac:dyDescent="0.35">
      <c r="C50" s="38"/>
      <c r="D50" s="38"/>
      <c r="E50" s="38"/>
      <c r="F50" s="38"/>
      <c r="G50" s="38"/>
      <c r="H50" s="38"/>
      <c r="I50" s="38"/>
      <c r="K50" s="39"/>
      <c r="L50" s="39"/>
      <c r="M50" s="39"/>
      <c r="T50" s="32" t="s">
        <v>31</v>
      </c>
    </row>
    <row r="51" spans="2:20" s="37" customFormat="1" ht="18" x14ac:dyDescent="0.35">
      <c r="C51" s="38"/>
      <c r="D51" s="38"/>
      <c r="E51" s="38"/>
      <c r="F51" s="38"/>
      <c r="G51" s="38"/>
      <c r="H51" s="38"/>
      <c r="I51" s="38"/>
      <c r="K51" s="39"/>
      <c r="L51" s="39"/>
      <c r="M51" s="39"/>
      <c r="T51" s="76" t="s">
        <v>26</v>
      </c>
    </row>
    <row r="52" spans="2:20" ht="18" customHeight="1" x14ac:dyDescent="0.3">
      <c r="D52" s="3"/>
      <c r="E52" s="3"/>
      <c r="F52" s="3"/>
      <c r="G52" s="3"/>
      <c r="T52" s="76" t="s">
        <v>27</v>
      </c>
    </row>
    <row r="53" spans="2:20" ht="15.6" x14ac:dyDescent="0.3">
      <c r="D53" s="3"/>
      <c r="E53" s="3"/>
      <c r="F53" s="3"/>
      <c r="G53" s="3"/>
      <c r="T53" s="76" t="s">
        <v>32</v>
      </c>
    </row>
    <row r="54" spans="2:20" ht="18" x14ac:dyDescent="0.35">
      <c r="D54" s="3"/>
      <c r="E54" s="3"/>
      <c r="F54" s="3"/>
      <c r="G54" s="3"/>
      <c r="T54" s="32"/>
    </row>
    <row r="55" spans="2:20" ht="17.399999999999999" x14ac:dyDescent="0.3">
      <c r="B55" s="78" t="s">
        <v>20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</row>
    <row r="56" spans="2:20" ht="17.399999999999999" x14ac:dyDescent="0.3">
      <c r="B56" s="78" t="s">
        <v>30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</row>
    <row r="57" spans="2:20" x14ac:dyDescent="0.3">
      <c r="D57" s="3"/>
      <c r="E57" s="3"/>
      <c r="F57" s="3"/>
      <c r="G57" s="3"/>
    </row>
    <row r="58" spans="2:20" ht="18.600000000000001" thickBot="1" x14ac:dyDescent="0.35">
      <c r="B58" s="22" t="s">
        <v>21</v>
      </c>
      <c r="C58" s="2"/>
      <c r="D58" s="4"/>
      <c r="E58" s="3"/>
      <c r="F58" s="3"/>
      <c r="G58" s="3"/>
    </row>
    <row r="59" spans="2:20" ht="16.2" thickBot="1" x14ac:dyDescent="0.35">
      <c r="B59" s="69" t="s">
        <v>0</v>
      </c>
      <c r="C59" s="70" t="s">
        <v>14</v>
      </c>
      <c r="D59" s="83" t="s">
        <v>17</v>
      </c>
      <c r="E59" s="83"/>
      <c r="F59" s="84"/>
      <c r="G59" s="82" t="s">
        <v>18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</row>
    <row r="60" spans="2:20" ht="16.2" hidden="1" outlineLevel="1" thickBot="1" x14ac:dyDescent="0.35">
      <c r="B60" s="5" t="s">
        <v>1</v>
      </c>
      <c r="C60" s="6"/>
      <c r="D60" s="11"/>
      <c r="E60" s="11"/>
      <c r="F60" s="11"/>
      <c r="G60" s="11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4"/>
    </row>
    <row r="61" spans="2:20" ht="23.25" hidden="1" customHeight="1" outlineLevel="1" x14ac:dyDescent="0.3">
      <c r="B61" s="85" t="s">
        <v>9</v>
      </c>
      <c r="C61" s="87" t="s">
        <v>15</v>
      </c>
      <c r="D61" s="12">
        <v>2020</v>
      </c>
      <c r="E61" s="13">
        <f>D61+1</f>
        <v>2021</v>
      </c>
      <c r="F61" s="19">
        <f t="shared" ref="F61" si="68">E61+1</f>
        <v>2022</v>
      </c>
      <c r="G61" s="12">
        <f t="shared" ref="G61:T61" si="69">G37</f>
        <v>2026</v>
      </c>
      <c r="H61" s="13">
        <f t="shared" si="69"/>
        <v>2027</v>
      </c>
      <c r="I61" s="13">
        <f t="shared" si="69"/>
        <v>2028</v>
      </c>
      <c r="J61" s="13">
        <f t="shared" si="69"/>
        <v>2029</v>
      </c>
      <c r="K61" s="13">
        <f t="shared" si="69"/>
        <v>2030</v>
      </c>
      <c r="L61" s="13">
        <f t="shared" si="69"/>
        <v>2031</v>
      </c>
      <c r="M61" s="13">
        <f t="shared" si="69"/>
        <v>2032</v>
      </c>
      <c r="N61" s="13">
        <f t="shared" si="69"/>
        <v>2033</v>
      </c>
      <c r="O61" s="13">
        <f t="shared" si="69"/>
        <v>2034</v>
      </c>
      <c r="P61" s="13">
        <f t="shared" si="69"/>
        <v>2035</v>
      </c>
      <c r="Q61" s="13">
        <f t="shared" si="69"/>
        <v>2036</v>
      </c>
      <c r="R61" s="13">
        <f t="shared" si="69"/>
        <v>2037</v>
      </c>
      <c r="S61" s="13">
        <f t="shared" si="69"/>
        <v>2038</v>
      </c>
      <c r="T61" s="14">
        <f t="shared" si="69"/>
        <v>2039</v>
      </c>
    </row>
    <row r="62" spans="2:20" ht="23.25" hidden="1" customHeight="1" outlineLevel="1" x14ac:dyDescent="0.3">
      <c r="B62" s="86"/>
      <c r="C62" s="88"/>
      <c r="D62" s="15"/>
      <c r="E62" s="16"/>
      <c r="F62" s="20"/>
      <c r="G62" s="54" t="s">
        <v>24</v>
      </c>
      <c r="H62" s="55" t="s">
        <v>24</v>
      </c>
      <c r="I62" s="55" t="s">
        <v>24</v>
      </c>
      <c r="J62" s="55" t="s">
        <v>24</v>
      </c>
      <c r="K62" s="55" t="s">
        <v>24</v>
      </c>
      <c r="L62" s="55" t="s">
        <v>24</v>
      </c>
      <c r="M62" s="55" t="s">
        <v>24</v>
      </c>
      <c r="N62" s="55" t="s">
        <v>24</v>
      </c>
      <c r="O62" s="55" t="s">
        <v>24</v>
      </c>
      <c r="P62" s="55" t="s">
        <v>24</v>
      </c>
      <c r="Q62" s="55" t="s">
        <v>24</v>
      </c>
      <c r="R62" s="55" t="s">
        <v>24</v>
      </c>
      <c r="S62" s="55" t="s">
        <v>24</v>
      </c>
      <c r="T62" s="63" t="s">
        <v>24</v>
      </c>
    </row>
    <row r="63" spans="2:20" ht="23.25" hidden="1" customHeight="1" outlineLevel="1" x14ac:dyDescent="0.3">
      <c r="B63" s="86"/>
      <c r="C63" s="88"/>
      <c r="D63" s="25"/>
      <c r="E63" s="26"/>
      <c r="F63" s="27"/>
      <c r="G63" s="21">
        <f>T61+1</f>
        <v>2040</v>
      </c>
      <c r="H63" s="17">
        <f>G63+1</f>
        <v>2041</v>
      </c>
      <c r="I63" s="17">
        <f t="shared" ref="I63" si="70">H63+1</f>
        <v>2042</v>
      </c>
      <c r="J63" s="17">
        <f t="shared" ref="J63" si="71">I63+1</f>
        <v>2043</v>
      </c>
      <c r="K63" s="17">
        <f t="shared" ref="K63" si="72">J63+1</f>
        <v>2044</v>
      </c>
      <c r="L63" s="17">
        <f t="shared" ref="L63" si="73">K63+1</f>
        <v>2045</v>
      </c>
      <c r="M63" s="17">
        <f t="shared" ref="M63" si="74">L63+1</f>
        <v>2046</v>
      </c>
      <c r="N63" s="17">
        <f t="shared" ref="N63" si="75">M63+1</f>
        <v>2047</v>
      </c>
      <c r="O63" s="17">
        <f t="shared" ref="O63" si="76">N63+1</f>
        <v>2048</v>
      </c>
      <c r="P63" s="17">
        <f t="shared" ref="P63:Q63" si="77">O63+1</f>
        <v>2049</v>
      </c>
      <c r="Q63" s="17">
        <f t="shared" si="77"/>
        <v>2050</v>
      </c>
      <c r="R63" s="17">
        <f t="shared" ref="R63" si="78">Q63+1</f>
        <v>2051</v>
      </c>
      <c r="S63" s="17">
        <f t="shared" ref="S63" si="79">R63+1</f>
        <v>2052</v>
      </c>
      <c r="T63" s="18">
        <f t="shared" ref="T63" si="80">S63+1</f>
        <v>2053</v>
      </c>
    </row>
    <row r="64" spans="2:20" ht="23.25" hidden="1" customHeight="1" outlineLevel="1" thickBot="1" x14ac:dyDescent="0.35">
      <c r="B64" s="86"/>
      <c r="C64" s="88"/>
      <c r="D64" s="28"/>
      <c r="E64" s="29"/>
      <c r="F64" s="30"/>
      <c r="G64" s="64" t="s">
        <v>24</v>
      </c>
      <c r="H64" s="52" t="s">
        <v>24</v>
      </c>
      <c r="I64" s="52" t="s">
        <v>24</v>
      </c>
      <c r="J64" s="52" t="s">
        <v>24</v>
      </c>
      <c r="K64" s="52" t="s">
        <v>24</v>
      </c>
      <c r="L64" s="52" t="s">
        <v>24</v>
      </c>
      <c r="M64" s="52" t="s">
        <v>24</v>
      </c>
      <c r="N64" s="52" t="s">
        <v>24</v>
      </c>
      <c r="O64" s="52" t="s">
        <v>24</v>
      </c>
      <c r="P64" s="52" t="s">
        <v>24</v>
      </c>
      <c r="Q64" s="52" t="s">
        <v>24</v>
      </c>
      <c r="R64" s="52" t="s">
        <v>24</v>
      </c>
      <c r="S64" s="52" t="s">
        <v>24</v>
      </c>
      <c r="T64" s="53"/>
    </row>
    <row r="65" spans="2:20" ht="23.25" hidden="1" customHeight="1" outlineLevel="1" x14ac:dyDescent="0.3">
      <c r="B65" s="85" t="s">
        <v>10</v>
      </c>
      <c r="C65" s="87" t="s">
        <v>15</v>
      </c>
      <c r="D65" s="12">
        <v>2020</v>
      </c>
      <c r="E65" s="13">
        <f>D65+1</f>
        <v>2021</v>
      </c>
      <c r="F65" s="19">
        <f t="shared" ref="F65" si="81">E65+1</f>
        <v>2022</v>
      </c>
      <c r="G65" s="12">
        <f>G61</f>
        <v>2026</v>
      </c>
      <c r="H65" s="13">
        <f t="shared" ref="H65:T65" si="82">H61</f>
        <v>2027</v>
      </c>
      <c r="I65" s="13">
        <f t="shared" si="82"/>
        <v>2028</v>
      </c>
      <c r="J65" s="13">
        <f t="shared" si="82"/>
        <v>2029</v>
      </c>
      <c r="K65" s="13">
        <f t="shared" si="82"/>
        <v>2030</v>
      </c>
      <c r="L65" s="13">
        <f t="shared" si="82"/>
        <v>2031</v>
      </c>
      <c r="M65" s="13">
        <f t="shared" si="82"/>
        <v>2032</v>
      </c>
      <c r="N65" s="13">
        <f t="shared" si="82"/>
        <v>2033</v>
      </c>
      <c r="O65" s="13">
        <f t="shared" si="82"/>
        <v>2034</v>
      </c>
      <c r="P65" s="13">
        <f t="shared" si="82"/>
        <v>2035</v>
      </c>
      <c r="Q65" s="13">
        <f t="shared" si="82"/>
        <v>2036</v>
      </c>
      <c r="R65" s="13">
        <f t="shared" si="82"/>
        <v>2037</v>
      </c>
      <c r="S65" s="13">
        <f t="shared" si="82"/>
        <v>2038</v>
      </c>
      <c r="T65" s="14">
        <f t="shared" si="82"/>
        <v>2039</v>
      </c>
    </row>
    <row r="66" spans="2:20" ht="23.25" hidden="1" customHeight="1" outlineLevel="1" x14ac:dyDescent="0.3">
      <c r="B66" s="86"/>
      <c r="C66" s="88"/>
      <c r="D66" s="15"/>
      <c r="E66" s="16"/>
      <c r="F66" s="20"/>
      <c r="G66" s="54" t="s">
        <v>24</v>
      </c>
      <c r="H66" s="55" t="s">
        <v>24</v>
      </c>
      <c r="I66" s="55" t="s">
        <v>24</v>
      </c>
      <c r="J66" s="55" t="s">
        <v>24</v>
      </c>
      <c r="K66" s="55" t="s">
        <v>24</v>
      </c>
      <c r="L66" s="55" t="s">
        <v>24</v>
      </c>
      <c r="M66" s="55" t="s">
        <v>24</v>
      </c>
      <c r="N66" s="55" t="s">
        <v>24</v>
      </c>
      <c r="O66" s="55" t="s">
        <v>24</v>
      </c>
      <c r="P66" s="55" t="s">
        <v>24</v>
      </c>
      <c r="Q66" s="55" t="s">
        <v>24</v>
      </c>
      <c r="R66" s="55" t="s">
        <v>24</v>
      </c>
      <c r="S66" s="55" t="s">
        <v>24</v>
      </c>
      <c r="T66" s="63" t="s">
        <v>24</v>
      </c>
    </row>
    <row r="67" spans="2:20" ht="23.25" hidden="1" customHeight="1" outlineLevel="1" x14ac:dyDescent="0.3">
      <c r="B67" s="86"/>
      <c r="C67" s="88"/>
      <c r="D67" s="25"/>
      <c r="E67" s="26"/>
      <c r="F67" s="27"/>
      <c r="G67" s="21">
        <f>T65+1</f>
        <v>2040</v>
      </c>
      <c r="H67" s="17">
        <f>G67+1</f>
        <v>2041</v>
      </c>
      <c r="I67" s="17">
        <f t="shared" ref="I67" si="83">H67+1</f>
        <v>2042</v>
      </c>
      <c r="J67" s="17">
        <f t="shared" ref="J67" si="84">I67+1</f>
        <v>2043</v>
      </c>
      <c r="K67" s="17">
        <f t="shared" ref="K67" si="85">J67+1</f>
        <v>2044</v>
      </c>
      <c r="L67" s="17">
        <f t="shared" ref="L67" si="86">K67+1</f>
        <v>2045</v>
      </c>
      <c r="M67" s="17">
        <f t="shared" ref="M67" si="87">L67+1</f>
        <v>2046</v>
      </c>
      <c r="N67" s="17">
        <f t="shared" ref="N67" si="88">M67+1</f>
        <v>2047</v>
      </c>
      <c r="O67" s="17">
        <f t="shared" ref="O67" si="89">N67+1</f>
        <v>2048</v>
      </c>
      <c r="P67" s="17">
        <f t="shared" ref="P67:Q67" si="90">O67+1</f>
        <v>2049</v>
      </c>
      <c r="Q67" s="17">
        <f t="shared" si="90"/>
        <v>2050</v>
      </c>
      <c r="R67" s="17">
        <f t="shared" ref="R67" si="91">Q67+1</f>
        <v>2051</v>
      </c>
      <c r="S67" s="17">
        <f t="shared" ref="S67" si="92">R67+1</f>
        <v>2052</v>
      </c>
      <c r="T67" s="18">
        <f t="shared" ref="T67" si="93">S67+1</f>
        <v>2053</v>
      </c>
    </row>
    <row r="68" spans="2:20" ht="23.25" hidden="1" customHeight="1" outlineLevel="1" thickBot="1" x14ac:dyDescent="0.35">
      <c r="B68" s="86"/>
      <c r="C68" s="88"/>
      <c r="D68" s="28"/>
      <c r="E68" s="29"/>
      <c r="F68" s="30"/>
      <c r="G68" s="64" t="s">
        <v>24</v>
      </c>
      <c r="H68" s="52" t="s">
        <v>24</v>
      </c>
      <c r="I68" s="52" t="s">
        <v>24</v>
      </c>
      <c r="J68" s="52" t="s">
        <v>24</v>
      </c>
      <c r="K68" s="52" t="s">
        <v>24</v>
      </c>
      <c r="L68" s="52" t="s">
        <v>24</v>
      </c>
      <c r="M68" s="52" t="s">
        <v>24</v>
      </c>
      <c r="N68" s="52" t="s">
        <v>24</v>
      </c>
      <c r="O68" s="52" t="s">
        <v>24</v>
      </c>
      <c r="P68" s="52" t="s">
        <v>24</v>
      </c>
      <c r="Q68" s="52" t="s">
        <v>24</v>
      </c>
      <c r="R68" s="52" t="s">
        <v>24</v>
      </c>
      <c r="S68" s="52" t="s">
        <v>24</v>
      </c>
      <c r="T68" s="53"/>
    </row>
    <row r="69" spans="2:20" ht="23.25" hidden="1" customHeight="1" outlineLevel="1" x14ac:dyDescent="0.3">
      <c r="B69" s="85" t="s">
        <v>11</v>
      </c>
      <c r="C69" s="87" t="s">
        <v>15</v>
      </c>
      <c r="D69" s="12">
        <v>2020</v>
      </c>
      <c r="E69" s="13">
        <f>D69+1</f>
        <v>2021</v>
      </c>
      <c r="F69" s="19">
        <f t="shared" ref="F69" si="94">E69+1</f>
        <v>2022</v>
      </c>
      <c r="G69" s="12">
        <f>G65</f>
        <v>2026</v>
      </c>
      <c r="H69" s="13">
        <f t="shared" ref="H69:T69" si="95">H65</f>
        <v>2027</v>
      </c>
      <c r="I69" s="13">
        <f t="shared" si="95"/>
        <v>2028</v>
      </c>
      <c r="J69" s="13">
        <f t="shared" si="95"/>
        <v>2029</v>
      </c>
      <c r="K69" s="13">
        <f t="shared" si="95"/>
        <v>2030</v>
      </c>
      <c r="L69" s="13">
        <f t="shared" si="95"/>
        <v>2031</v>
      </c>
      <c r="M69" s="13">
        <f t="shared" si="95"/>
        <v>2032</v>
      </c>
      <c r="N69" s="13">
        <f t="shared" si="95"/>
        <v>2033</v>
      </c>
      <c r="O69" s="13">
        <f t="shared" si="95"/>
        <v>2034</v>
      </c>
      <c r="P69" s="13">
        <f t="shared" si="95"/>
        <v>2035</v>
      </c>
      <c r="Q69" s="13">
        <f t="shared" si="95"/>
        <v>2036</v>
      </c>
      <c r="R69" s="13">
        <f t="shared" si="95"/>
        <v>2037</v>
      </c>
      <c r="S69" s="13">
        <f t="shared" si="95"/>
        <v>2038</v>
      </c>
      <c r="T69" s="14">
        <f t="shared" si="95"/>
        <v>2039</v>
      </c>
    </row>
    <row r="70" spans="2:20" ht="23.25" hidden="1" customHeight="1" outlineLevel="1" x14ac:dyDescent="0.3">
      <c r="B70" s="86"/>
      <c r="C70" s="88"/>
      <c r="D70" s="15"/>
      <c r="E70" s="16"/>
      <c r="F70" s="20"/>
      <c r="G70" s="54" t="s">
        <v>24</v>
      </c>
      <c r="H70" s="55" t="s">
        <v>24</v>
      </c>
      <c r="I70" s="55" t="s">
        <v>24</v>
      </c>
      <c r="J70" s="55" t="s">
        <v>24</v>
      </c>
      <c r="K70" s="55" t="s">
        <v>24</v>
      </c>
      <c r="L70" s="55" t="s">
        <v>24</v>
      </c>
      <c r="M70" s="55" t="s">
        <v>24</v>
      </c>
      <c r="N70" s="55" t="s">
        <v>24</v>
      </c>
      <c r="O70" s="55" t="s">
        <v>24</v>
      </c>
      <c r="P70" s="55" t="s">
        <v>24</v>
      </c>
      <c r="Q70" s="55" t="s">
        <v>24</v>
      </c>
      <c r="R70" s="55" t="s">
        <v>24</v>
      </c>
      <c r="S70" s="55" t="s">
        <v>24</v>
      </c>
      <c r="T70" s="63" t="s">
        <v>24</v>
      </c>
    </row>
    <row r="71" spans="2:20" ht="23.25" hidden="1" customHeight="1" outlineLevel="1" x14ac:dyDescent="0.3">
      <c r="B71" s="86"/>
      <c r="C71" s="88"/>
      <c r="D71" s="25"/>
      <c r="E71" s="26"/>
      <c r="F71" s="27"/>
      <c r="G71" s="21">
        <f>T69+1</f>
        <v>2040</v>
      </c>
      <c r="H71" s="17">
        <f>G71+1</f>
        <v>2041</v>
      </c>
      <c r="I71" s="17">
        <f t="shared" ref="I71" si="96">H71+1</f>
        <v>2042</v>
      </c>
      <c r="J71" s="17">
        <f t="shared" ref="J71" si="97">I71+1</f>
        <v>2043</v>
      </c>
      <c r="K71" s="17">
        <f t="shared" ref="K71" si="98">J71+1</f>
        <v>2044</v>
      </c>
      <c r="L71" s="17">
        <f t="shared" ref="L71" si="99">K71+1</f>
        <v>2045</v>
      </c>
      <c r="M71" s="17">
        <f t="shared" ref="M71" si="100">L71+1</f>
        <v>2046</v>
      </c>
      <c r="N71" s="17">
        <f t="shared" ref="N71" si="101">M71+1</f>
        <v>2047</v>
      </c>
      <c r="O71" s="17">
        <f t="shared" ref="O71" si="102">N71+1</f>
        <v>2048</v>
      </c>
      <c r="P71" s="17">
        <f t="shared" ref="P71:Q71" si="103">O71+1</f>
        <v>2049</v>
      </c>
      <c r="Q71" s="17">
        <f t="shared" si="103"/>
        <v>2050</v>
      </c>
      <c r="R71" s="17">
        <f t="shared" ref="R71" si="104">Q71+1</f>
        <v>2051</v>
      </c>
      <c r="S71" s="17">
        <f t="shared" ref="S71" si="105">R71+1</f>
        <v>2052</v>
      </c>
      <c r="T71" s="18">
        <f t="shared" ref="T71" si="106">S71+1</f>
        <v>2053</v>
      </c>
    </row>
    <row r="72" spans="2:20" ht="23.25" hidden="1" customHeight="1" outlineLevel="1" thickBot="1" x14ac:dyDescent="0.35">
      <c r="B72" s="86"/>
      <c r="C72" s="88"/>
      <c r="D72" s="28"/>
      <c r="E72" s="29"/>
      <c r="F72" s="30"/>
      <c r="G72" s="64" t="s">
        <v>24</v>
      </c>
      <c r="H72" s="52" t="s">
        <v>24</v>
      </c>
      <c r="I72" s="52" t="s">
        <v>24</v>
      </c>
      <c r="J72" s="52" t="s">
        <v>24</v>
      </c>
      <c r="K72" s="52" t="s">
        <v>24</v>
      </c>
      <c r="L72" s="52" t="s">
        <v>24</v>
      </c>
      <c r="M72" s="52" t="s">
        <v>24</v>
      </c>
      <c r="N72" s="52" t="s">
        <v>24</v>
      </c>
      <c r="O72" s="52" t="s">
        <v>24</v>
      </c>
      <c r="P72" s="52" t="s">
        <v>24</v>
      </c>
      <c r="Q72" s="52" t="s">
        <v>24</v>
      </c>
      <c r="R72" s="52" t="s">
        <v>24</v>
      </c>
      <c r="S72" s="52" t="s">
        <v>24</v>
      </c>
      <c r="T72" s="53"/>
    </row>
    <row r="73" spans="2:20" ht="16.2" collapsed="1" thickBot="1" x14ac:dyDescent="0.35">
      <c r="B73" s="5" t="s">
        <v>4</v>
      </c>
      <c r="C73" s="9"/>
      <c r="D73" s="10"/>
      <c r="E73" s="10"/>
      <c r="F73" s="10"/>
      <c r="G73" s="43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5"/>
    </row>
    <row r="74" spans="2:20" ht="21.75" customHeight="1" x14ac:dyDescent="0.3">
      <c r="B74" s="85" t="s">
        <v>12</v>
      </c>
      <c r="C74" s="87" t="s">
        <v>16</v>
      </c>
      <c r="D74" s="12">
        <v>2020</v>
      </c>
      <c r="E74" s="13">
        <f>D74+1</f>
        <v>2021</v>
      </c>
      <c r="F74" s="19">
        <f t="shared" ref="F74" si="107">E74+1</f>
        <v>2022</v>
      </c>
      <c r="G74" s="12">
        <f>G69</f>
        <v>2026</v>
      </c>
      <c r="H74" s="13">
        <f t="shared" ref="H74:T74" si="108">H69</f>
        <v>2027</v>
      </c>
      <c r="I74" s="13">
        <f t="shared" si="108"/>
        <v>2028</v>
      </c>
      <c r="J74" s="13">
        <f t="shared" si="108"/>
        <v>2029</v>
      </c>
      <c r="K74" s="13">
        <f t="shared" si="108"/>
        <v>2030</v>
      </c>
      <c r="L74" s="13">
        <f t="shared" si="108"/>
        <v>2031</v>
      </c>
      <c r="M74" s="13">
        <f t="shared" si="108"/>
        <v>2032</v>
      </c>
      <c r="N74" s="13">
        <f t="shared" si="108"/>
        <v>2033</v>
      </c>
      <c r="O74" s="13">
        <f t="shared" si="108"/>
        <v>2034</v>
      </c>
      <c r="P74" s="13">
        <f t="shared" si="108"/>
        <v>2035</v>
      </c>
      <c r="Q74" s="13">
        <f t="shared" si="108"/>
        <v>2036</v>
      </c>
      <c r="R74" s="13">
        <f t="shared" si="108"/>
        <v>2037</v>
      </c>
      <c r="S74" s="13">
        <f t="shared" si="108"/>
        <v>2038</v>
      </c>
      <c r="T74" s="14">
        <f t="shared" si="108"/>
        <v>2039</v>
      </c>
    </row>
    <row r="75" spans="2:20" ht="21.75" customHeight="1" x14ac:dyDescent="0.3">
      <c r="B75" s="86"/>
      <c r="C75" s="88"/>
      <c r="D75" s="15"/>
      <c r="E75" s="16"/>
      <c r="F75" s="20"/>
      <c r="G75" s="65">
        <f>603/160.15</f>
        <v>3.7652201061504837</v>
      </c>
      <c r="H75" s="66">
        <f>(603-1.1275)/160.15</f>
        <v>3.7581798314080546</v>
      </c>
      <c r="I75" s="66">
        <f>(603-1.1275*2)/160.15</f>
        <v>3.7511395566656258</v>
      </c>
      <c r="J75" s="66">
        <f>(603-1.1275*3)/160.15</f>
        <v>3.7440992819231966</v>
      </c>
      <c r="K75" s="66">
        <f>(603-1.1275*4)/160.15</f>
        <v>3.7370590071807679</v>
      </c>
      <c r="L75" s="66">
        <f>(603-1.1275*5)/160.15</f>
        <v>3.7300187324383387</v>
      </c>
      <c r="M75" s="66">
        <f>(603-1.1275*6)/160.15</f>
        <v>3.72297845769591</v>
      </c>
      <c r="N75" s="66">
        <f>(603-1.1275*7)/160.15</f>
        <v>3.7159381829534808</v>
      </c>
      <c r="O75" s="66">
        <f>(603-1.1275*8)/160.15</f>
        <v>3.708897908211052</v>
      </c>
      <c r="P75" s="66">
        <f>(603-1.1275*9)/160.15</f>
        <v>3.7018576334686228</v>
      </c>
      <c r="Q75" s="66">
        <f>(603-1.1275*10)/160.15</f>
        <v>3.6948173587261941</v>
      </c>
      <c r="R75" s="66">
        <f>(603-1.1275*11)/160.15</f>
        <v>3.6877770839837649</v>
      </c>
      <c r="S75" s="66">
        <f>(603-1.1275*12)/160.15</f>
        <v>3.6807368092413362</v>
      </c>
      <c r="T75" s="67">
        <f>(603-1.1275*13)/160.15</f>
        <v>3.673696534498907</v>
      </c>
    </row>
    <row r="76" spans="2:20" ht="21.75" customHeight="1" x14ac:dyDescent="0.3">
      <c r="B76" s="86"/>
      <c r="C76" s="88"/>
      <c r="D76" s="25"/>
      <c r="E76" s="26"/>
      <c r="F76" s="26"/>
      <c r="G76" s="21">
        <f>T74+1</f>
        <v>2040</v>
      </c>
      <c r="H76" s="17">
        <f>G76+1</f>
        <v>2041</v>
      </c>
      <c r="I76" s="17">
        <f t="shared" ref="I76:Q76" si="109">H76+1</f>
        <v>2042</v>
      </c>
      <c r="J76" s="17">
        <f t="shared" si="109"/>
        <v>2043</v>
      </c>
      <c r="K76" s="17">
        <f t="shared" si="109"/>
        <v>2044</v>
      </c>
      <c r="L76" s="17">
        <f t="shared" si="109"/>
        <v>2045</v>
      </c>
      <c r="M76" s="17">
        <f t="shared" si="109"/>
        <v>2046</v>
      </c>
      <c r="N76" s="17">
        <f t="shared" si="109"/>
        <v>2047</v>
      </c>
      <c r="O76" s="17">
        <f t="shared" si="109"/>
        <v>2048</v>
      </c>
      <c r="P76" s="17">
        <f t="shared" si="109"/>
        <v>2049</v>
      </c>
      <c r="Q76" s="17">
        <f t="shared" si="109"/>
        <v>2050</v>
      </c>
      <c r="R76" s="17">
        <f t="shared" ref="R76" si="110">Q76+1</f>
        <v>2051</v>
      </c>
      <c r="S76" s="17">
        <f t="shared" ref="S76" si="111">R76+1</f>
        <v>2052</v>
      </c>
      <c r="T76" s="18">
        <f t="shared" ref="T76" si="112">S76+1</f>
        <v>2053</v>
      </c>
    </row>
    <row r="77" spans="2:20" ht="21.75" customHeight="1" thickBot="1" x14ac:dyDescent="0.35">
      <c r="B77" s="91"/>
      <c r="C77" s="92"/>
      <c r="D77" s="28"/>
      <c r="E77" s="29"/>
      <c r="F77" s="29"/>
      <c r="G77" s="68">
        <f>(603-1.1275*14)/160.15</f>
        <v>3.6666562597564782</v>
      </c>
      <c r="H77" s="49">
        <f>(603-1.1275*15)/160.15</f>
        <v>3.6596159850140491</v>
      </c>
      <c r="I77" s="49">
        <f>(603-1.1275*16)/160.15</f>
        <v>3.6525757102716203</v>
      </c>
      <c r="J77" s="49">
        <f>(603-1.1275*17)/160.15</f>
        <v>3.6455354355291911</v>
      </c>
      <c r="K77" s="49">
        <f>(603-1.1275*18)/160.15</f>
        <v>3.6384951607867624</v>
      </c>
      <c r="L77" s="49">
        <f>(603-1.1275*19)/160.15</f>
        <v>3.6314548860443332</v>
      </c>
      <c r="M77" s="49">
        <f>(603-1.1275*20)/160.15</f>
        <v>3.6244146113019045</v>
      </c>
      <c r="N77" s="49">
        <f>(603-1.1275*21)/160.15</f>
        <v>3.6173743365594753</v>
      </c>
      <c r="O77" s="49">
        <f>(603-1.1275*22)/160.15</f>
        <v>3.6103340618170465</v>
      </c>
      <c r="P77" s="49">
        <f>(603-1.1275*23)/160.15</f>
        <v>3.6032937870746173</v>
      </c>
      <c r="Q77" s="49">
        <f>(603-1.1275*24)/160.15</f>
        <v>3.5962535123321886</v>
      </c>
      <c r="R77" s="49">
        <f>(603-1.1275*25)/160.15</f>
        <v>3.5892132375897594</v>
      </c>
      <c r="S77" s="49">
        <f>(603-1.1275*26)/160.15</f>
        <v>3.5821729628473302</v>
      </c>
      <c r="T77" s="51"/>
    </row>
    <row r="78" spans="2:20" ht="16.2" hidden="1" outlineLevel="1" thickBot="1" x14ac:dyDescent="0.35">
      <c r="B78" s="5" t="s">
        <v>6</v>
      </c>
      <c r="C78" s="6"/>
      <c r="D78" s="11"/>
      <c r="E78" s="11"/>
      <c r="F78" s="11"/>
      <c r="G78" s="4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8"/>
    </row>
    <row r="79" spans="2:20" ht="21.75" hidden="1" customHeight="1" outlineLevel="1" x14ac:dyDescent="0.3">
      <c r="B79" s="85" t="s">
        <v>13</v>
      </c>
      <c r="C79" s="87" t="s">
        <v>19</v>
      </c>
      <c r="D79" s="12">
        <v>2020</v>
      </c>
      <c r="E79" s="13">
        <f>D79+1</f>
        <v>2021</v>
      </c>
      <c r="F79" s="19">
        <f t="shared" ref="F79" si="113">E79+1</f>
        <v>2022</v>
      </c>
      <c r="G79" s="12">
        <f>G74</f>
        <v>2026</v>
      </c>
      <c r="H79" s="13">
        <f t="shared" ref="H79:T79" si="114">H74</f>
        <v>2027</v>
      </c>
      <c r="I79" s="13">
        <f t="shared" si="114"/>
        <v>2028</v>
      </c>
      <c r="J79" s="13">
        <f t="shared" si="114"/>
        <v>2029</v>
      </c>
      <c r="K79" s="13">
        <f t="shared" si="114"/>
        <v>2030</v>
      </c>
      <c r="L79" s="13">
        <f t="shared" si="114"/>
        <v>2031</v>
      </c>
      <c r="M79" s="13">
        <f t="shared" si="114"/>
        <v>2032</v>
      </c>
      <c r="N79" s="13">
        <f t="shared" si="114"/>
        <v>2033</v>
      </c>
      <c r="O79" s="13">
        <f t="shared" si="114"/>
        <v>2034</v>
      </c>
      <c r="P79" s="13">
        <f t="shared" si="114"/>
        <v>2035</v>
      </c>
      <c r="Q79" s="13">
        <f t="shared" si="114"/>
        <v>2036</v>
      </c>
      <c r="R79" s="13">
        <f t="shared" si="114"/>
        <v>2037</v>
      </c>
      <c r="S79" s="13">
        <f t="shared" si="114"/>
        <v>2038</v>
      </c>
      <c r="T79" s="14">
        <f t="shared" si="114"/>
        <v>2039</v>
      </c>
    </row>
    <row r="80" spans="2:20" ht="21.75" hidden="1" customHeight="1" outlineLevel="1" x14ac:dyDescent="0.3">
      <c r="B80" s="86"/>
      <c r="C80" s="88"/>
      <c r="D80" s="15"/>
      <c r="E80" s="16"/>
      <c r="F80" s="20"/>
      <c r="G80" s="61">
        <v>1.0900000000000001</v>
      </c>
      <c r="H80" s="41">
        <v>1.0900000000000001</v>
      </c>
      <c r="I80" s="41">
        <v>1.0900000000000001</v>
      </c>
      <c r="J80" s="41">
        <v>1.0900000000000001</v>
      </c>
      <c r="K80" s="41">
        <v>1.0900000000000001</v>
      </c>
      <c r="L80" s="41">
        <v>1.0900000000000001</v>
      </c>
      <c r="M80" s="41">
        <v>1.0900000000000001</v>
      </c>
      <c r="N80" s="41">
        <v>1.0900000000000001</v>
      </c>
      <c r="O80" s="41">
        <v>1.0900000000000001</v>
      </c>
      <c r="P80" s="41">
        <v>1.0900000000000001</v>
      </c>
      <c r="Q80" s="41">
        <v>1.0900000000000001</v>
      </c>
      <c r="R80" s="41">
        <v>1.0900000000000001</v>
      </c>
      <c r="S80" s="41">
        <v>1.0900000000000001</v>
      </c>
      <c r="T80" s="42">
        <v>1.0900000000000001</v>
      </c>
    </row>
    <row r="81" spans="2:20" ht="21.75" hidden="1" customHeight="1" outlineLevel="1" x14ac:dyDescent="0.3">
      <c r="B81" s="86"/>
      <c r="C81" s="88"/>
      <c r="D81" s="25"/>
      <c r="E81" s="26"/>
      <c r="F81" s="26"/>
      <c r="G81" s="21">
        <f>T79+1</f>
        <v>2040</v>
      </c>
      <c r="H81" s="17">
        <f>G81+1</f>
        <v>2041</v>
      </c>
      <c r="I81" s="17">
        <f t="shared" ref="I81" si="115">H81+1</f>
        <v>2042</v>
      </c>
      <c r="J81" s="17">
        <f t="shared" ref="J81" si="116">I81+1</f>
        <v>2043</v>
      </c>
      <c r="K81" s="17">
        <f t="shared" ref="K81" si="117">J81+1</f>
        <v>2044</v>
      </c>
      <c r="L81" s="17">
        <f t="shared" ref="L81" si="118">K81+1</f>
        <v>2045</v>
      </c>
      <c r="M81" s="17">
        <f t="shared" ref="M81" si="119">L81+1</f>
        <v>2046</v>
      </c>
      <c r="N81" s="17">
        <f t="shared" ref="N81" si="120">M81+1</f>
        <v>2047</v>
      </c>
      <c r="O81" s="17">
        <f t="shared" ref="O81" si="121">N81+1</f>
        <v>2048</v>
      </c>
      <c r="P81" s="17">
        <f t="shared" ref="P81:Q81" si="122">O81+1</f>
        <v>2049</v>
      </c>
      <c r="Q81" s="17">
        <f t="shared" si="122"/>
        <v>2050</v>
      </c>
      <c r="R81" s="17">
        <f t="shared" ref="R81" si="123">Q81+1</f>
        <v>2051</v>
      </c>
      <c r="S81" s="17">
        <f t="shared" ref="S81" si="124">R81+1</f>
        <v>2052</v>
      </c>
      <c r="T81" s="18">
        <f t="shared" ref="T81" si="125">S81+1</f>
        <v>2053</v>
      </c>
    </row>
    <row r="82" spans="2:20" ht="21.75" hidden="1" customHeight="1" outlineLevel="1" thickBot="1" x14ac:dyDescent="0.35">
      <c r="B82" s="91"/>
      <c r="C82" s="92"/>
      <c r="D82" s="7"/>
      <c r="E82" s="8"/>
      <c r="F82" s="8"/>
      <c r="G82" s="62">
        <v>1.0900000000000001</v>
      </c>
      <c r="H82" s="33">
        <v>1.0900000000000001</v>
      </c>
      <c r="I82" s="33">
        <v>1.0900000000000001</v>
      </c>
      <c r="J82" s="33">
        <v>1.0900000000000001</v>
      </c>
      <c r="K82" s="33">
        <v>1.0900000000000001</v>
      </c>
      <c r="L82" s="33">
        <v>1.0900000000000001</v>
      </c>
      <c r="M82" s="33">
        <v>1.0900000000000001</v>
      </c>
      <c r="N82" s="33">
        <v>1.0900000000000001</v>
      </c>
      <c r="O82" s="33">
        <v>1.0900000000000001</v>
      </c>
      <c r="P82" s="33">
        <v>1.0900000000000001</v>
      </c>
      <c r="Q82" s="33">
        <v>1.0900000000000001</v>
      </c>
      <c r="R82" s="33">
        <v>1.0900000000000001</v>
      </c>
      <c r="S82" s="33">
        <v>1.0900000000000001</v>
      </c>
      <c r="T82" s="40"/>
    </row>
    <row r="83" spans="2:20" collapsed="1" x14ac:dyDescent="0.3"/>
    <row r="84" spans="2:20" s="37" customFormat="1" ht="18" x14ac:dyDescent="0.35">
      <c r="D84" s="1"/>
      <c r="E84" s="1"/>
      <c r="F84" s="1"/>
      <c r="G84" s="1"/>
      <c r="L84" s="1"/>
    </row>
    <row r="85" spans="2:20" s="37" customFormat="1" ht="18" x14ac:dyDescent="0.35">
      <c r="B85" s="77" t="s">
        <v>29</v>
      </c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</row>
    <row r="86" spans="2:20" s="1" customFormat="1" ht="17.399999999999999" x14ac:dyDescent="0.3">
      <c r="C86" s="78"/>
      <c r="D86" s="78"/>
      <c r="E86" s="78"/>
      <c r="F86" s="78"/>
      <c r="G86" s="78"/>
      <c r="H86" s="78"/>
      <c r="I86" s="78"/>
      <c r="K86" s="81"/>
      <c r="L86" s="81"/>
      <c r="M86" s="81"/>
      <c r="N86" s="81"/>
      <c r="P86" s="78"/>
      <c r="Q86" s="78"/>
      <c r="R86" s="78"/>
      <c r="S86" s="78"/>
      <c r="T86" s="78"/>
    </row>
    <row r="87" spans="2:20" s="37" customFormat="1" ht="18" x14ac:dyDescent="0.35">
      <c r="L87" s="38"/>
    </row>
    <row r="88" spans="2:20" s="37" customFormat="1" ht="39.75" customHeight="1" x14ac:dyDescent="0.35">
      <c r="C88" s="79"/>
      <c r="D88" s="79"/>
      <c r="E88" s="79"/>
      <c r="F88" s="79"/>
      <c r="G88" s="79"/>
      <c r="H88" s="79"/>
      <c r="I88" s="79"/>
      <c r="J88" s="2"/>
      <c r="K88" s="79"/>
      <c r="L88" s="79"/>
      <c r="M88" s="79"/>
      <c r="N88" s="79"/>
      <c r="P88" s="79"/>
      <c r="Q88" s="79"/>
      <c r="R88" s="79"/>
      <c r="S88" s="79"/>
      <c r="T88" s="79"/>
    </row>
    <row r="89" spans="2:20" s="37" customFormat="1" ht="18" x14ac:dyDescent="0.35">
      <c r="L89" s="38"/>
    </row>
    <row r="90" spans="2:20" s="37" customFormat="1" ht="18" x14ac:dyDescent="0.35">
      <c r="L90" s="38"/>
    </row>
    <row r="91" spans="2:20" s="37" customFormat="1" ht="18" x14ac:dyDescent="0.35">
      <c r="C91" s="80"/>
      <c r="D91" s="80"/>
      <c r="E91" s="80"/>
      <c r="F91" s="80"/>
      <c r="G91" s="80"/>
      <c r="H91" s="80"/>
      <c r="I91" s="80"/>
      <c r="K91" s="80"/>
      <c r="L91" s="80"/>
      <c r="M91" s="80"/>
      <c r="N91" s="80"/>
      <c r="P91" s="77"/>
      <c r="Q91" s="77"/>
      <c r="R91" s="77"/>
      <c r="S91" s="77"/>
      <c r="T91" s="77"/>
    </row>
  </sheetData>
  <mergeCells count="52">
    <mergeCell ref="C79:C82"/>
    <mergeCell ref="B79:B82"/>
    <mergeCell ref="G9:T9"/>
    <mergeCell ref="B15:B18"/>
    <mergeCell ref="C15:C18"/>
    <mergeCell ref="B11:B14"/>
    <mergeCell ref="C11:C14"/>
    <mergeCell ref="B33:B36"/>
    <mergeCell ref="C33:C36"/>
    <mergeCell ref="C37:C40"/>
    <mergeCell ref="B37:B40"/>
    <mergeCell ref="D9:F9"/>
    <mergeCell ref="B20:B23"/>
    <mergeCell ref="C20:C23"/>
    <mergeCell ref="B25:B28"/>
    <mergeCell ref="C25:C28"/>
    <mergeCell ref="D59:F59"/>
    <mergeCell ref="B29:B32"/>
    <mergeCell ref="C29:C32"/>
    <mergeCell ref="B74:B77"/>
    <mergeCell ref="C74:C77"/>
    <mergeCell ref="B65:B68"/>
    <mergeCell ref="B61:B64"/>
    <mergeCell ref="B69:B72"/>
    <mergeCell ref="C61:C64"/>
    <mergeCell ref="C65:C68"/>
    <mergeCell ref="C69:C72"/>
    <mergeCell ref="C91:I91"/>
    <mergeCell ref="K91:N91"/>
    <mergeCell ref="P91:T91"/>
    <mergeCell ref="C86:I86"/>
    <mergeCell ref="K86:N86"/>
    <mergeCell ref="P86:T86"/>
    <mergeCell ref="C88:I88"/>
    <mergeCell ref="K88:N88"/>
    <mergeCell ref="P88:T88"/>
    <mergeCell ref="B85:T85"/>
    <mergeCell ref="B6:T6"/>
    <mergeCell ref="B7:T7"/>
    <mergeCell ref="B43:T43"/>
    <mergeCell ref="B55:T55"/>
    <mergeCell ref="B56:T56"/>
    <mergeCell ref="P44:T44"/>
    <mergeCell ref="P46:T46"/>
    <mergeCell ref="P49:T49"/>
    <mergeCell ref="C46:I46"/>
    <mergeCell ref="C49:I49"/>
    <mergeCell ref="C44:I44"/>
    <mergeCell ref="K46:N46"/>
    <mergeCell ref="K44:N44"/>
    <mergeCell ref="K49:N49"/>
    <mergeCell ref="G59:T59"/>
  </mergeCells>
  <pageMargins left="0.70866141732283472" right="0.51181102362204722" top="0.35433070866141736" bottom="0.15748031496062992" header="0.31496062992125984" footer="0.31496062992125984"/>
  <pageSetup paperSize="9" scale="50" orientation="landscape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Андреева Ольга Николаевна</cp:lastModifiedBy>
  <cp:lastPrinted>2025-12-03T02:50:44Z</cp:lastPrinted>
  <dcterms:created xsi:type="dcterms:W3CDTF">2022-01-29T04:42:29Z</dcterms:created>
  <dcterms:modified xsi:type="dcterms:W3CDTF">2025-12-17T05:23:32Z</dcterms:modified>
</cp:coreProperties>
</file>