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555328DE-BD2E-4166-8883-FA045D062900}" xr6:coauthVersionLast="47" xr6:coauthVersionMax="47" xr10:uidLastSave="{00000000-0000-0000-0000-000000000000}"/>
  <bookViews>
    <workbookView xWindow="-108" yWindow="-108" windowWidth="23256" windowHeight="12576" xr2:uid="{00000000-000D-0000-FFFF-FFFF00000000}"/>
  </bookViews>
  <sheets>
    <sheet name="Приложение 1" sheetId="4" r:id="rId1"/>
    <sheet name="Лист1" sheetId="5" r:id="rId2"/>
  </sheets>
  <definedNames>
    <definedName name="_xlnm.Print_Titles" localSheetId="0">'Приложение 1'!$11:$13</definedName>
    <definedName name="_xlnm.Print_Area" localSheetId="0">'Приложение 1'!$A$1:$M$152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3" i="4" l="1"/>
  <c r="K113" i="4"/>
  <c r="K85" i="4"/>
  <c r="K51" i="4"/>
  <c r="K31" i="4"/>
  <c r="K143" i="4"/>
  <c r="K61" i="4"/>
  <c r="K58" i="4"/>
  <c r="D17" i="4"/>
  <c r="D16" i="4"/>
  <c r="K121" i="4" l="1"/>
  <c r="K112" i="4"/>
  <c r="K110" i="4"/>
  <c r="K107" i="4"/>
  <c r="K104" i="4"/>
  <c r="K101" i="4"/>
  <c r="K90" i="4"/>
  <c r="K74" i="4"/>
  <c r="D72" i="4"/>
  <c r="M73" i="4"/>
  <c r="K20" i="4"/>
  <c r="K18" i="4"/>
  <c r="K122" i="4"/>
  <c r="K27" i="4"/>
  <c r="L27" i="4"/>
  <c r="M27" i="4"/>
  <c r="J27" i="4"/>
  <c r="D49" i="4"/>
  <c r="K114" i="4" l="1"/>
  <c r="M112" i="4"/>
  <c r="M114" i="4"/>
  <c r="L112" i="4"/>
  <c r="L114" i="4"/>
  <c r="D150" i="4" l="1"/>
  <c r="D149" i="4"/>
  <c r="D147" i="4"/>
  <c r="D146" i="4"/>
  <c r="D145" i="4"/>
  <c r="D144" i="4"/>
  <c r="D143" i="4"/>
  <c r="D141" i="4"/>
  <c r="D140" i="4"/>
  <c r="D139" i="4"/>
  <c r="D138" i="4"/>
  <c r="D137" i="4"/>
  <c r="D136" i="4"/>
  <c r="D135" i="4"/>
  <c r="D134" i="4"/>
  <c r="D133" i="4"/>
  <c r="D130" i="4"/>
  <c r="D127" i="4"/>
  <c r="D126" i="4"/>
  <c r="D115" i="4"/>
  <c r="D108" i="4"/>
  <c r="D105" i="4"/>
  <c r="D102" i="4"/>
  <c r="D99" i="4"/>
  <c r="D89" i="4"/>
  <c r="D87" i="4"/>
  <c r="D86" i="4"/>
  <c r="D78" i="4"/>
  <c r="D76" i="4"/>
  <c r="D71" i="4"/>
  <c r="D66" i="4"/>
  <c r="D42" i="4"/>
  <c r="D46" i="4"/>
  <c r="D47" i="4"/>
  <c r="D48" i="4"/>
  <c r="K93" i="4" l="1"/>
  <c r="L93" i="4"/>
  <c r="M93" i="4"/>
  <c r="M100" i="4" l="1"/>
  <c r="M103" i="4"/>
  <c r="M106" i="4"/>
  <c r="M131" i="4" l="1"/>
  <c r="M81" i="4" s="1"/>
  <c r="M128" i="4"/>
  <c r="M123" i="4"/>
  <c r="M111" i="4"/>
  <c r="M96" i="4"/>
  <c r="M92" i="4" s="1"/>
  <c r="I95" i="4"/>
  <c r="J95" i="4"/>
  <c r="K95" i="4"/>
  <c r="L95" i="4"/>
  <c r="M95" i="4"/>
  <c r="I94" i="4"/>
  <c r="K94" i="4"/>
  <c r="L94" i="4"/>
  <c r="M94" i="4"/>
  <c r="I93" i="4"/>
  <c r="M84" i="4"/>
  <c r="M57" i="4"/>
  <c r="M56" i="4"/>
  <c r="M25" i="4" s="1"/>
  <c r="M50" i="4"/>
  <c r="M45" i="4"/>
  <c r="M17" i="4"/>
  <c r="M55" i="4" l="1"/>
  <c r="M54" i="4" s="1"/>
  <c r="M16" i="4"/>
  <c r="M80" i="4"/>
  <c r="M79" i="4" s="1"/>
  <c r="M26" i="4"/>
  <c r="J148" i="4"/>
  <c r="D148" i="4" s="1"/>
  <c r="J142" i="4"/>
  <c r="D142" i="4" s="1"/>
  <c r="L131" i="4"/>
  <c r="L81" i="4" s="1"/>
  <c r="K131" i="4"/>
  <c r="K81" i="4" s="1"/>
  <c r="J131" i="4"/>
  <c r="I131" i="4"/>
  <c r="I81" i="4" s="1"/>
  <c r="H131" i="4"/>
  <c r="H81" i="4" s="1"/>
  <c r="G131" i="4"/>
  <c r="G81" i="4" s="1"/>
  <c r="F131" i="4"/>
  <c r="E131" i="4"/>
  <c r="E81" i="4" s="1"/>
  <c r="F129" i="4"/>
  <c r="D129" i="4" s="1"/>
  <c r="L128" i="4"/>
  <c r="K128" i="4"/>
  <c r="J128" i="4"/>
  <c r="I128" i="4"/>
  <c r="H128" i="4"/>
  <c r="G128" i="4"/>
  <c r="E128" i="4"/>
  <c r="J125" i="4"/>
  <c r="D125" i="4" s="1"/>
  <c r="J124" i="4"/>
  <c r="D124" i="4" s="1"/>
  <c r="L123" i="4"/>
  <c r="K123" i="4"/>
  <c r="I123" i="4"/>
  <c r="H123" i="4"/>
  <c r="G123" i="4"/>
  <c r="F123" i="4"/>
  <c r="E123" i="4"/>
  <c r="J122" i="4"/>
  <c r="H122" i="4"/>
  <c r="G122" i="4"/>
  <c r="F122" i="4"/>
  <c r="J121" i="4"/>
  <c r="H121" i="4"/>
  <c r="G121" i="4"/>
  <c r="F121" i="4"/>
  <c r="H120" i="4"/>
  <c r="G120" i="4"/>
  <c r="F119" i="4"/>
  <c r="D119" i="4" s="1"/>
  <c r="F118" i="4"/>
  <c r="D118" i="4" s="1"/>
  <c r="H117" i="4"/>
  <c r="G117" i="4"/>
  <c r="F117" i="4"/>
  <c r="J116" i="4"/>
  <c r="H116" i="4"/>
  <c r="G116" i="4"/>
  <c r="F116" i="4"/>
  <c r="E116" i="4"/>
  <c r="J114" i="4"/>
  <c r="G114" i="4"/>
  <c r="F114" i="4"/>
  <c r="E114" i="4"/>
  <c r="J113" i="4"/>
  <c r="J111" i="4" s="1"/>
  <c r="H113" i="4"/>
  <c r="G113" i="4"/>
  <c r="F113" i="4"/>
  <c r="I112" i="4"/>
  <c r="I111" i="4" s="1"/>
  <c r="H112" i="4"/>
  <c r="G112" i="4"/>
  <c r="F112" i="4"/>
  <c r="L111" i="4"/>
  <c r="K111" i="4"/>
  <c r="J110" i="4"/>
  <c r="D110" i="4" s="1"/>
  <c r="H109" i="4"/>
  <c r="D109" i="4" s="1"/>
  <c r="J107" i="4"/>
  <c r="D107" i="4" s="1"/>
  <c r="L106" i="4"/>
  <c r="K106" i="4"/>
  <c r="I106" i="4"/>
  <c r="H106" i="4"/>
  <c r="G106" i="4"/>
  <c r="F106" i="4"/>
  <c r="E106" i="4"/>
  <c r="J104" i="4"/>
  <c r="H104" i="4"/>
  <c r="E104" i="4"/>
  <c r="L103" i="4"/>
  <c r="K103" i="4"/>
  <c r="I103" i="4"/>
  <c r="G103" i="4"/>
  <c r="F103" i="4"/>
  <c r="H101" i="4"/>
  <c r="H100" i="4" s="1"/>
  <c r="G101" i="4"/>
  <c r="G100" i="4" s="1"/>
  <c r="F101" i="4"/>
  <c r="F100" i="4" s="1"/>
  <c r="E101" i="4"/>
  <c r="L100" i="4"/>
  <c r="K100" i="4"/>
  <c r="I100" i="4"/>
  <c r="J98" i="4"/>
  <c r="J94" i="4" s="1"/>
  <c r="G98" i="4"/>
  <c r="G94" i="4" s="1"/>
  <c r="F98" i="4"/>
  <c r="H97" i="4"/>
  <c r="H96" i="4" s="1"/>
  <c r="G97" i="4"/>
  <c r="F97" i="4"/>
  <c r="E97" i="4"/>
  <c r="L96" i="4"/>
  <c r="K96" i="4"/>
  <c r="I96" i="4"/>
  <c r="H95" i="4"/>
  <c r="G95" i="4"/>
  <c r="F95" i="4"/>
  <c r="E95" i="4"/>
  <c r="H94" i="4"/>
  <c r="E94" i="4"/>
  <c r="H91" i="4"/>
  <c r="D91" i="4" s="1"/>
  <c r="J90" i="4"/>
  <c r="G90" i="4"/>
  <c r="F90" i="4"/>
  <c r="H88" i="4"/>
  <c r="D88" i="4" s="1"/>
  <c r="H85" i="4"/>
  <c r="G85" i="4"/>
  <c r="G84" i="4" s="1"/>
  <c r="F85" i="4"/>
  <c r="L84" i="4"/>
  <c r="K84" i="4"/>
  <c r="I84" i="4"/>
  <c r="E84" i="4"/>
  <c r="F81" i="4"/>
  <c r="H77" i="4"/>
  <c r="G77" i="4"/>
  <c r="F77" i="4"/>
  <c r="E77" i="4"/>
  <c r="J75" i="4"/>
  <c r="J73" i="4" s="1"/>
  <c r="H75" i="4"/>
  <c r="G75" i="4"/>
  <c r="F75" i="4"/>
  <c r="E75" i="4"/>
  <c r="I74" i="4"/>
  <c r="I73" i="4" s="1"/>
  <c r="H74" i="4"/>
  <c r="G74" i="4"/>
  <c r="F74" i="4"/>
  <c r="L73" i="4"/>
  <c r="K73" i="4"/>
  <c r="H70" i="4"/>
  <c r="D70" i="4" s="1"/>
  <c r="G69" i="4"/>
  <c r="D69" i="4" s="1"/>
  <c r="G68" i="4"/>
  <c r="D68" i="4" s="1"/>
  <c r="F67" i="4"/>
  <c r="D67" i="4" s="1"/>
  <c r="E65" i="4"/>
  <c r="E64" i="4"/>
  <c r="D64" i="4" s="1"/>
  <c r="H63" i="4"/>
  <c r="G63" i="4"/>
  <c r="F63" i="4"/>
  <c r="E62" i="4"/>
  <c r="D62" i="4" s="1"/>
  <c r="H61" i="4"/>
  <c r="G61" i="4"/>
  <c r="F61" i="4"/>
  <c r="E61" i="4"/>
  <c r="H60" i="4"/>
  <c r="G60" i="4"/>
  <c r="F60" i="4"/>
  <c r="F59" i="4"/>
  <c r="D59" i="4" s="1"/>
  <c r="H58" i="4"/>
  <c r="G58" i="4"/>
  <c r="G57" i="4" s="1"/>
  <c r="F58" i="4"/>
  <c r="E58" i="4"/>
  <c r="L57" i="4"/>
  <c r="L55" i="4" s="1"/>
  <c r="K57" i="4"/>
  <c r="K55" i="4" s="1"/>
  <c r="J57" i="4"/>
  <c r="I57" i="4"/>
  <c r="H57" i="4"/>
  <c r="L56" i="4"/>
  <c r="L25" i="4" s="1"/>
  <c r="K56" i="4"/>
  <c r="J56" i="4"/>
  <c r="J25" i="4" s="1"/>
  <c r="I56" i="4"/>
  <c r="I25" i="4" s="1"/>
  <c r="H56" i="4"/>
  <c r="H25" i="4" s="1"/>
  <c r="G56" i="4"/>
  <c r="G25" i="4" s="1"/>
  <c r="F56" i="4"/>
  <c r="F25" i="4" s="1"/>
  <c r="F16" i="4" s="1"/>
  <c r="I55" i="4"/>
  <c r="H53" i="4"/>
  <c r="D53" i="4" s="1"/>
  <c r="J52" i="4"/>
  <c r="H52" i="4"/>
  <c r="G52" i="4"/>
  <c r="F52" i="4"/>
  <c r="E52" i="4"/>
  <c r="J51" i="4"/>
  <c r="H51" i="4"/>
  <c r="G51" i="4"/>
  <c r="F51" i="4"/>
  <c r="E51" i="4"/>
  <c r="D51" i="4" s="1"/>
  <c r="L50" i="4"/>
  <c r="K50" i="4"/>
  <c r="I50" i="4"/>
  <c r="L45" i="4"/>
  <c r="K45" i="4"/>
  <c r="J45" i="4"/>
  <c r="I45" i="4"/>
  <c r="H45" i="4"/>
  <c r="G45" i="4"/>
  <c r="F45" i="4"/>
  <c r="E45" i="4"/>
  <c r="H44" i="4"/>
  <c r="D44" i="4" s="1"/>
  <c r="H43" i="4"/>
  <c r="D43" i="4" s="1"/>
  <c r="H41" i="4"/>
  <c r="G41" i="4"/>
  <c r="G40" i="4"/>
  <c r="F40" i="4"/>
  <c r="F39" i="4"/>
  <c r="D39" i="4" s="1"/>
  <c r="H38" i="4"/>
  <c r="G38" i="4"/>
  <c r="F38" i="4"/>
  <c r="E38" i="4"/>
  <c r="E37" i="4"/>
  <c r="D37" i="4" s="1"/>
  <c r="F33" i="4"/>
  <c r="E33" i="4"/>
  <c r="H32" i="4"/>
  <c r="G32" i="4"/>
  <c r="F32" i="4"/>
  <c r="E32" i="4"/>
  <c r="G31" i="4"/>
  <c r="F31" i="4"/>
  <c r="J26" i="4"/>
  <c r="H30" i="4"/>
  <c r="G30" i="4"/>
  <c r="F30" i="4"/>
  <c r="D30" i="4" s="1"/>
  <c r="H29" i="4"/>
  <c r="G29" i="4"/>
  <c r="F29" i="4"/>
  <c r="D28" i="4"/>
  <c r="L26" i="4"/>
  <c r="K26" i="4"/>
  <c r="I27" i="4"/>
  <c r="K25" i="4"/>
  <c r="J20" i="4"/>
  <c r="J17" i="4" s="1"/>
  <c r="H20" i="4"/>
  <c r="G20" i="4"/>
  <c r="F20" i="4"/>
  <c r="E20" i="4"/>
  <c r="H18" i="4"/>
  <c r="H17" i="4" s="1"/>
  <c r="G18" i="4"/>
  <c r="F18" i="4"/>
  <c r="D18" i="4" s="1"/>
  <c r="L17" i="4"/>
  <c r="K17" i="4"/>
  <c r="I17" i="4"/>
  <c r="D52" i="4" l="1"/>
  <c r="D50" i="4" s="1"/>
  <c r="D29" i="4"/>
  <c r="D77" i="4"/>
  <c r="D58" i="4"/>
  <c r="D61" i="4"/>
  <c r="D74" i="4"/>
  <c r="D75" i="4"/>
  <c r="D60" i="4"/>
  <c r="D112" i="4"/>
  <c r="D113" i="4"/>
  <c r="D116" i="4"/>
  <c r="D121" i="4"/>
  <c r="D122" i="4"/>
  <c r="D90" i="4"/>
  <c r="D117" i="4"/>
  <c r="D120" i="4"/>
  <c r="D20" i="4"/>
  <c r="F17" i="4"/>
  <c r="D31" i="4"/>
  <c r="D41" i="4"/>
  <c r="D65" i="4"/>
  <c r="D56" i="4" s="1"/>
  <c r="D25" i="4" s="1"/>
  <c r="E103" i="4"/>
  <c r="D104" i="4"/>
  <c r="D103" i="4" s="1"/>
  <c r="F84" i="4"/>
  <c r="D85" i="4"/>
  <c r="E111" i="4"/>
  <c r="D114" i="4"/>
  <c r="D38" i="4"/>
  <c r="D95" i="4"/>
  <c r="D97" i="4"/>
  <c r="D98" i="4"/>
  <c r="F128" i="4"/>
  <c r="E100" i="4"/>
  <c r="D101" i="4"/>
  <c r="D32" i="4"/>
  <c r="D33" i="4"/>
  <c r="D40" i="4"/>
  <c r="D45" i="4"/>
  <c r="J103" i="4"/>
  <c r="J93" i="4"/>
  <c r="M24" i="4"/>
  <c r="M23" i="4" s="1"/>
  <c r="G16" i="4"/>
  <c r="J96" i="4"/>
  <c r="J50" i="4"/>
  <c r="L54" i="4"/>
  <c r="G50" i="4"/>
  <c r="J84" i="4"/>
  <c r="F96" i="4"/>
  <c r="F92" i="4" s="1"/>
  <c r="G27" i="4"/>
  <c r="G26" i="4" s="1"/>
  <c r="G17" i="4"/>
  <c r="J55" i="4"/>
  <c r="J54" i="4" s="1"/>
  <c r="I16" i="4"/>
  <c r="E50" i="4"/>
  <c r="H93" i="4"/>
  <c r="J106" i="4"/>
  <c r="F57" i="4"/>
  <c r="F55" i="4" s="1"/>
  <c r="F54" i="4" s="1"/>
  <c r="G96" i="4"/>
  <c r="G92" i="4" s="1"/>
  <c r="J100" i="4"/>
  <c r="H50" i="4"/>
  <c r="E93" i="4"/>
  <c r="L92" i="4"/>
  <c r="L80" i="4" s="1"/>
  <c r="L79" i="4" s="1"/>
  <c r="G111" i="4"/>
  <c r="H16" i="4"/>
  <c r="K16" i="4"/>
  <c r="D106" i="4"/>
  <c r="K92" i="4"/>
  <c r="K80" i="4" s="1"/>
  <c r="K79" i="4" s="1"/>
  <c r="H27" i="4"/>
  <c r="H26" i="4" s="1"/>
  <c r="E56" i="4"/>
  <c r="E25" i="4" s="1"/>
  <c r="E16" i="4" s="1"/>
  <c r="I54" i="4"/>
  <c r="G55" i="4"/>
  <c r="G54" i="4" s="1"/>
  <c r="G93" i="4"/>
  <c r="H111" i="4"/>
  <c r="D131" i="4"/>
  <c r="D81" i="4" s="1"/>
  <c r="F73" i="4"/>
  <c r="I24" i="4"/>
  <c r="I23" i="4" s="1"/>
  <c r="F50" i="4"/>
  <c r="H55" i="4"/>
  <c r="H54" i="4" s="1"/>
  <c r="L24" i="4"/>
  <c r="L23" i="4" s="1"/>
  <c r="G73" i="4"/>
  <c r="H73" i="4"/>
  <c r="D128" i="4"/>
  <c r="K54" i="4"/>
  <c r="E73" i="4"/>
  <c r="F94" i="4"/>
  <c r="D94" i="4" s="1"/>
  <c r="I92" i="4"/>
  <c r="I80" i="4" s="1"/>
  <c r="I79" i="4" s="1"/>
  <c r="D123" i="4"/>
  <c r="L16" i="4"/>
  <c r="K24" i="4"/>
  <c r="I26" i="4"/>
  <c r="E57" i="4"/>
  <c r="E63" i="4"/>
  <c r="D63" i="4" s="1"/>
  <c r="H84" i="4"/>
  <c r="F93" i="4"/>
  <c r="H103" i="4"/>
  <c r="H92" i="4" s="1"/>
  <c r="F111" i="4"/>
  <c r="E27" i="4"/>
  <c r="J81" i="4"/>
  <c r="J16" i="4" s="1"/>
  <c r="J123" i="4"/>
  <c r="E17" i="4"/>
  <c r="F27" i="4"/>
  <c r="E96" i="4"/>
  <c r="D27" i="4" l="1"/>
  <c r="E92" i="4"/>
  <c r="E80" i="4" s="1"/>
  <c r="E79" i="4" s="1"/>
  <c r="D57" i="4"/>
  <c r="D100" i="4"/>
  <c r="D93" i="4"/>
  <c r="M15" i="4"/>
  <c r="M14" i="4" s="1"/>
  <c r="D84" i="4"/>
  <c r="F80" i="4"/>
  <c r="F79" i="4" s="1"/>
  <c r="J92" i="4"/>
  <c r="J80" i="4" s="1"/>
  <c r="J79" i="4" s="1"/>
  <c r="H24" i="4"/>
  <c r="H23" i="4" s="1"/>
  <c r="G80" i="4"/>
  <c r="G79" i="4" s="1"/>
  <c r="I15" i="4"/>
  <c r="I14" i="4" s="1"/>
  <c r="D73" i="4"/>
  <c r="D111" i="4"/>
  <c r="G24" i="4"/>
  <c r="G23" i="4" s="1"/>
  <c r="D96" i="4"/>
  <c r="J24" i="4"/>
  <c r="J23" i="4" s="1"/>
  <c r="L15" i="4"/>
  <c r="L14" i="4" s="1"/>
  <c r="D26" i="4"/>
  <c r="E55" i="4"/>
  <c r="E54" i="4" s="1"/>
  <c r="E26" i="4"/>
  <c r="H80" i="4"/>
  <c r="H79" i="4" s="1"/>
  <c r="K15" i="4"/>
  <c r="K23" i="4"/>
  <c r="F26" i="4"/>
  <c r="F24" i="4"/>
  <c r="D55" i="4" l="1"/>
  <c r="D54" i="4" s="1"/>
  <c r="K14" i="4"/>
  <c r="D15" i="4"/>
  <c r="D14" i="4" s="1"/>
  <c r="G15" i="4"/>
  <c r="G14" i="4" s="1"/>
  <c r="D92" i="4"/>
  <c r="D80" i="4" s="1"/>
  <c r="D79" i="4" s="1"/>
  <c r="J15" i="4"/>
  <c r="J14" i="4" s="1"/>
  <c r="E24" i="4"/>
  <c r="E23" i="4" s="1"/>
  <c r="H15" i="4"/>
  <c r="H14" i="4" s="1"/>
  <c r="F23" i="4"/>
  <c r="F15" i="4"/>
  <c r="F14" i="4" s="1"/>
  <c r="F22" i="5"/>
  <c r="D24" i="4" l="1"/>
  <c r="D23" i="4" s="1"/>
  <c r="E15" i="4"/>
  <c r="E14" i="4" l="1"/>
</calcChain>
</file>

<file path=xl/sharedStrings.xml><?xml version="1.0" encoding="utf-8"?>
<sst xmlns="http://schemas.openxmlformats.org/spreadsheetml/2006/main" count="449" uniqueCount="153">
  <si>
    <t>Источник финансирования</t>
  </si>
  <si>
    <t>Общий объем финансирования, руб.</t>
  </si>
  <si>
    <t>Администрация города</t>
  </si>
  <si>
    <t>Дума города</t>
  </si>
  <si>
    <t>КСП</t>
  </si>
  <si>
    <t>Комитет по управлению муниципальным имуществом администрации города</t>
  </si>
  <si>
    <t>Бюджет города</t>
  </si>
  <si>
    <t>Без финансирования</t>
  </si>
  <si>
    <t xml:space="preserve"> Аппарат администрации города Усолье-Сибирское</t>
  </si>
  <si>
    <t>Администрация города Усолье-Сибирское</t>
  </si>
  <si>
    <t>Администрация города Усолье-Сибирское,                          Дума города Усолье-Сибирское,                                          КСП города Усолье-Сибирское</t>
  </si>
  <si>
    <t>МКУ "Централизованная бухгалтерия города Усолье-Сибирское"</t>
  </si>
  <si>
    <t>Комитет по финансам администрации города</t>
  </si>
  <si>
    <t>Отдел регулирования контрактной системы в сфере закупок администрации города</t>
  </si>
  <si>
    <t>Отдел архитектуры и градостроительства администрации города</t>
  </si>
  <si>
    <t>2020 год</t>
  </si>
  <si>
    <t>2019 год</t>
  </si>
  <si>
    <t>Всего</t>
  </si>
  <si>
    <t>2021 год</t>
  </si>
  <si>
    <t>2022 год</t>
  </si>
  <si>
    <t>2023 год</t>
  </si>
  <si>
    <t>2024 год</t>
  </si>
  <si>
    <t>Комитет экономического развития администрации города</t>
  </si>
  <si>
    <t>Дума города Усолье-Сибирское</t>
  </si>
  <si>
    <t xml:space="preserve">Комитет экономического развития администрации города </t>
  </si>
  <si>
    <t>Комитет по финансам администрации города, отдел внутреннего муниципального финансового контроля и контроля в сфере закупок администрации города Усолье-Сибирское</t>
  </si>
  <si>
    <t>Экономический отдел комитета экономического развития администрации города</t>
  </si>
  <si>
    <t>Областной бюджет</t>
  </si>
  <si>
    <t>Объем финансирования , руб.</t>
  </si>
  <si>
    <t>МКУ "Городское управление капитального строительства"</t>
  </si>
  <si>
    <t xml:space="preserve">Ресурсное обеспечение реализации муниципальной программы города Усолье-Сибирское </t>
  </si>
  <si>
    <t>Ответственный исполнитель Программы, соисполнители Программы, участники Программы, участники подпрограммы</t>
  </si>
  <si>
    <t>Наименование Программы, подпрограммы, основного мероприятия, мероприятия, проекта</t>
  </si>
  <si>
    <t xml:space="preserve"> МКУ "Городское управление капитального строительства"</t>
  </si>
  <si>
    <t>Основное мероприятие 4.11. Содержание МКУ "Централизованная бухгалтерия города Усолье-Сибирское"</t>
  </si>
  <si>
    <t>Основное мероприятие 4.10. Содержание МКУ «Городское управление капитального строительства»</t>
  </si>
  <si>
    <t xml:space="preserve">Основное мероприятие 4.12. Субсидии на реализацию мероприятий перечня проектов народных инициатив </t>
  </si>
  <si>
    <t>Мероприятие 3.1.12.                                                          Приобретение технологического оборудования</t>
  </si>
  <si>
    <t>Мероприятие 3.1.13.                                                          Приобретение материальных запасов</t>
  </si>
  <si>
    <t>Комитет по финансам администрации города Усолье-Сибирское</t>
  </si>
  <si>
    <t>Комитет по управлению муниципальным имуществом администрации города Усолье-Сибирское</t>
  </si>
  <si>
    <t xml:space="preserve">Администрация города Усолье-Сибирское,                          Дума города Усолье-Сибирское                               </t>
  </si>
  <si>
    <t xml:space="preserve">Администрация города Усолье-Сибирское,                          Дума города Усолье-Сибирское                 </t>
  </si>
  <si>
    <t xml:space="preserve">Администрация города Усолье-Сибирское,                          Дума города Усолье-Сибирское                           </t>
  </si>
  <si>
    <t>Отдел по благоустройству и экологии комитета по городскому хозяйству администрации города</t>
  </si>
  <si>
    <t>Основное мероприятие 4.17. Организация регулярных перевозок пассажиров и багажа наземным транспортом по регулируемым тарифам в границах города Усолье-Сибирское</t>
  </si>
  <si>
    <t>2025 год</t>
  </si>
  <si>
    <t>Основное мероприятие 4.19.Реализация инициативных проектов, выдвигаемых для получения финансовой поддержки из бюджета Иркутской области</t>
  </si>
  <si>
    <t>Основное мероприятие 4.18. Содержание комитета по городскому хозяйству администрации города</t>
  </si>
  <si>
    <t>Отдел по жизнеобеспечению комитета по городскому хозяйству администрации города</t>
  </si>
  <si>
    <t>Отдел по благоустройству и экологии комитета по городскому хозяйству  администрации города</t>
  </si>
  <si>
    <t>всего</t>
  </si>
  <si>
    <t>2026 год</t>
  </si>
  <si>
    <t xml:space="preserve">                                                                                       к муниципальной программе города Усолье-Сибирское</t>
  </si>
  <si>
    <t>Комитет по городскому хозяйству администрации города Усолье-Сибирское</t>
  </si>
  <si>
    <t>Отдел спорта и молодежной политики управления по социально-культурным вопросам администрации города Уоолье-Сибирское</t>
  </si>
  <si>
    <t>Отдел образования управления по социально-культурным вопросам администрации города Усолье-Сибирское</t>
  </si>
  <si>
    <t>Отдел культуры управления по социально-культурным вопросам администрации города Усолье-Сибирское</t>
  </si>
  <si>
    <t>МКУ"Централизованная бухгалтерия города Усолье-Сибирское"</t>
  </si>
  <si>
    <t>Администрация города Усолье-Сибирское, Комитет по управлению муниципальным имуществом администрации города Усолье-Сибирское, Комитет по финансам администрации города Усолье-Сибирское , Комитет по городскому хозяйству администрации города Усолье-Сибирское, Отдел спорта и молодежной политики управления по социально-культурным вопросам администрации города Усолье-Сибирское, Отдел образованияуправления по социально-культурным вопросам города Усолье-Сибирское ,Отдел культуры управления по социально-культурным вопросам администрации города Усолье-Сибирское</t>
  </si>
  <si>
    <t>Мероприятие 3.4.4.                                                                        Закупка товаров, работ, услуг для обеспечения деятельности сотрудников комитета по управлению муниципальным имуществом</t>
  </si>
  <si>
    <t>Мероприятие 3.4.5. Проведение аудита бухгалтерской (финансовой) отчетности муниципальных унитарных предприятий</t>
  </si>
  <si>
    <t>Основное мероприятие 4.1.                                                   Повышение эффективности управления экономическим развитием города Усолье-Сибирское</t>
  </si>
  <si>
    <t>Основное мероприятие 4.2.                                                                                     Повышение эффективности деятельности по регулированию контрактной системы в сфере закупок для муниципальных нужд города Усолье-Сибирское</t>
  </si>
  <si>
    <t>Основное мероприятие 4.3.                                                                                                 Повышение эффективности использования городских территорий и территориальных резервов для осуществления градостроительной деятельности города Усолье-Сибирское</t>
  </si>
  <si>
    <t>Мероприятие 4.3.1.                                                                 Разработка документов территориального планирования муниципального образования "город Усолье-Сибирское"</t>
  </si>
  <si>
    <t xml:space="preserve">Мероприятие 4.3.2.                                                                                       Актуализация/разработка программы комплексного развития коммунальной инфраструктуры муниципального образования «город Усолье-Сибирское» </t>
  </si>
  <si>
    <t>Мероприятие 4.3.4.                                                                                       актуализация программы комплексного развития социальной инфраструктуры муниципального образования города Усолье-Сибирское на 2012-2025 гг. по состоянию на 2021-2022 гг.</t>
  </si>
  <si>
    <t>Мероприятие 4.3.5.                                                                                        Разработка проекта планировки и проекта межевания территории линейного объекта "Водоснабжение ул. Российской и Ленинградской, Иркутской области г. Усолье-Сибирское"</t>
  </si>
  <si>
    <t>Мероприятие 4.3.6.                                                                                        Разработка документации для участия во Всероссийском конкурсе лучших проектов создания комфортной среды в категории "малые города"</t>
  </si>
  <si>
    <t>Мероприятие 4.3.7. Разработка проектной документации по объекту "Концепция благоустройства ул. Интернациональной "Город из трамвайного окна" в г. Усолье-Сибирское</t>
  </si>
  <si>
    <t>Основное мероприятие 4.4.
Своевременное и достоверное информирование населения города о деятельности органов местного самоуправления муниципального образования "город Усолье-Сибирское"</t>
  </si>
  <si>
    <t xml:space="preserve">Мероприятие 4.4.1.
Выпуск и распространение газеты Официальное Усолье
</t>
  </si>
  <si>
    <t>Мероприятие 4.4.2.
Информационное сопровождение деятельности органов местного самоуправления города в печатных СМИ</t>
  </si>
  <si>
    <t>Мероприятие 4.4.3.
Информационное сопровождение деятельности органов местного самоуправления города в электронных СМИ (ТВ) и (или) социальных сетях, видеохостингах и госпабликах</t>
  </si>
  <si>
    <t xml:space="preserve">Мероприятие 4.4.4.
Информационное сопровождение деятельности органов местного самоуправления города в электронных СМИ (Радио)  </t>
  </si>
  <si>
    <t>Мероприятие 4.4.5.                                                Фото, видео сопровождение реализации национальных проектов на территории МО</t>
  </si>
  <si>
    <t>Мероприятие 4.4.6. Информационное сопровождение деятельности органов местного самоуправления в электронных СМИ (сетевые издания)</t>
  </si>
  <si>
    <t xml:space="preserve">Основное мероприятие 4.5.
Обеспечение деятельности администрации города Усолье-Сибирское </t>
  </si>
  <si>
    <t xml:space="preserve">Мероприятие 4.5.1.
Обеспечение функционирования администрации города Усолье-Сибирское
</t>
  </si>
  <si>
    <t xml:space="preserve">Мероприятие 4.5.2.
Обеспечение бесперебойной работы автоматизированных рабочих мест администрации города Усолье-Сибирское
</t>
  </si>
  <si>
    <t xml:space="preserve">Мероприятие 4.5.3.
Информационно-статистические услуги
</t>
  </si>
  <si>
    <t>Мероприятие 4.5.4.
Содержание МКУ "Централизованная бухгалтерия города Усолье-Сибирское"</t>
  </si>
  <si>
    <t xml:space="preserve">Основное мероприятие 4.6.
Резервный фонд администрации города Усолье-Сибирское
</t>
  </si>
  <si>
    <t xml:space="preserve">Основное мероприятие 4.7.
Накопление, восполнение резерва материальных ресурсов города Усолье-Сибирское
</t>
  </si>
  <si>
    <t xml:space="preserve">Основное мероприятие 4.8.
Организация и проведение конкурса "Общественное признание"
</t>
  </si>
  <si>
    <t xml:space="preserve">Основное мероприятие 4.9.
Предоставление грантов на реализацию проектов бюджетных инициатив, направленных на решение вопросов местного значения муниципального образования "город Усолье-Сибирское"
</t>
  </si>
  <si>
    <t xml:space="preserve">Основное мероприятие 4.9.
Реализация инициативных проектов на территории муниципального образования «город Усолье-Сибирское»
</t>
  </si>
  <si>
    <t xml:space="preserve">Основное мероприятие 4.13.
Организация и проведение конкурса "Мы помним - мы гордимся"
</t>
  </si>
  <si>
    <t xml:space="preserve">Основное мероприятие 4.14.
Предоставление субсидии на возмещение части затрат в связи с оказанием услуг по организации питания в муниципальных общеобразовательных учреждениях города Усолье-Сибирское
</t>
  </si>
  <si>
    <t xml:space="preserve">Основное мероприятие 4.15.
Содержание объектов недвижимого имущества, находящихся в собственности муниципальных образований Иркутской области и расположенных на территориях, которые подверглись загрязнению в результате экономической деятельности, связанной с производством химической продукции
</t>
  </si>
  <si>
    <t xml:space="preserve">Основное мероприятие 4.16. Поощрение муниципальных управленческих команд </t>
  </si>
  <si>
    <t>Основное мероприятие 4.20. Мероприятие по вручению знака за педагогическую доблесть</t>
  </si>
  <si>
    <t>Основное мероприятие 4.21. Исполнение наказов избирателей</t>
  </si>
  <si>
    <t xml:space="preserve">Основное мероприятие 1.1.                              Обеспечение эффективного управления муниципальными финансами, формирования, организации исполнения бюджета города </t>
  </si>
  <si>
    <t>Основное мероприятие 1.2.                         Организация работы по наполнению доходами бюджета города</t>
  </si>
  <si>
    <t>Основное мероприятие 1.3.                                                   Управление муниципальным долгом города Усолье-Сибирское и его обслуживание</t>
  </si>
  <si>
    <t>Основное мероприятие 1.4.                         Совершенствование осуществления внутреннего муниципального финансового контроля в сфере бюджетных  правоотношений, контроля за соблюдением законодательства Российской Федерации и иных нормативных правовых актов о контрактной системе в сфере закупок товаров, работ, услуг для обеспечения муниципальных нужд на территории города Усолье-Сибирское</t>
  </si>
  <si>
    <t>Основное мероприятие 3.1.                              Организация процесса управления и распоряжения муниципальным имуществом</t>
  </si>
  <si>
    <t>Мероприятие 3.1.1.                                                      Проведение технической инвентаризации и паспортизации объектов муниципального имущества, постановка их на государственный кадастровый учет, регистрация права собственности на объекты муниципального имущества</t>
  </si>
  <si>
    <t>Мероприятие 3.1.2.                                                            Проведение рыночной оценки приватизируемого или предоставляемого в аренду муниципального имущества</t>
  </si>
  <si>
    <t>Мероприятие 3.1.3.                                                                Нотариальное удостоверение подлинности документов, оплата государственной пошлины, возмещение расходов на уведомление кредиторов по делам о банкротстве</t>
  </si>
  <si>
    <t>Мероприятие 3.1.4.                                                               Размещение информационных сообщений в СМИ</t>
  </si>
  <si>
    <t>Мероприятие 3.1.5.                                                                    Списание и утилизация муниципального имущества</t>
  </si>
  <si>
    <t>Мероприятие 3.1.6.                                                               Выявление бесхозяйных объектов на территории города Усолье-Сибирское и проведение мероприятий с целью регистрации муниципального права собственности</t>
  </si>
  <si>
    <t>Мероприятие 3.1.7.                                                                            Осуществление общего контроля за результатами финансово-хозяйственной деятельности муниципальных унитарных предприятий, эффективностью и целевым использованием закрепленного за ними на праве хозяйственного ведения муниципального имущества</t>
  </si>
  <si>
    <t>Мероприятие 3.1.8.                                                           Проведение анализа и согласование программ деятельности муниципальных унитарных предприятий на очередной финансовый год</t>
  </si>
  <si>
    <t>Мероприятие 3.1.9.                                               Подготовка актов об отсутствии объектов недвижимости на земельном участке</t>
  </si>
  <si>
    <t>Мероприятие 3.1.10.                                              Проведение мероприятий по приведению жилых помещений к установленным санитарным и техническим нормам</t>
  </si>
  <si>
    <t>Мероприятие 3.1.11.                                              Организация доставки имущества (трамваев)</t>
  </si>
  <si>
    <t>Мероприятие 3.1.14. Разработка проектов по демонтажу аварийных объектов</t>
  </si>
  <si>
    <t>Мероприятие 3.1.15. Мероприятие по приобретение информационных баннеров</t>
  </si>
  <si>
    <t>Мероприятие 3.1.16.  Инженерное обследование строительных конструкций защитного сооружения гражданской обороны, расположенного по адресу г.Усолье-Сибирское ул.Лермонтова, 2А</t>
  </si>
  <si>
    <t>Мероприятие 3.1.17. Приобретение подвижного состава пассажирского транспорта общего пользования</t>
  </si>
  <si>
    <t>Основное мероприятие 3.2.                                                           Организация процесса управления и распоряжения земельными участками</t>
  </si>
  <si>
    <t>Мероприятие  3.2.1.                                                              Обеспечение полноты зарегистрированных прав муниципального образования  "город Усолье-Сибирское" на земельные участки, расположенные на территории муниципального образования "город Усолье-Сибирское", государственная собственность на которые не разграничена, земельные участки под объектами</t>
  </si>
  <si>
    <t>Мероприятие 3.2.2.                                                               Проведение рыночной оценки приватизируемых или предоставляемых в аренду земельных участков</t>
  </si>
  <si>
    <t>Мероприятие 3.2.3.                                                               Снос самовольных построек</t>
  </si>
  <si>
    <t>Основное мероприятие 3.3.
Выполнение обязательств по владению и пользованию муниципальным имуществом</t>
  </si>
  <si>
    <t>Мероприятие 3.3.1.                                                                                                            Содержание временно не эксплуатируемых объектов</t>
  </si>
  <si>
    <t>Мероприятие 3.3.2.                                                                                       Исполнение обязательств при владении и пользовании муниципальным имуществом (ОСАГО, налоги, пени, штрафы)</t>
  </si>
  <si>
    <t>Мероприятие 3.3.3.                                                                                       Содержание гидротехнических сооружений КОС-1, 2, водозабор "Ангара"</t>
  </si>
  <si>
    <t>Мероприятие 3.3.4.                                                                                       Проектно-сметная документация по ремонту здания для размещения кабинета врача</t>
  </si>
  <si>
    <t>Мероприятие 3.3.5.                                                                                       Капитальный ремонт здания по адресу: Иркутская область, г. Усолье-Сибирское, ул. Крупской, д. 38 (ремонт кабинета врача, ремонт систем инженерно-технического обеспечения)</t>
  </si>
  <si>
    <t>Мероприятие 3.3.6.                                                                                       Обследование технического состояния муниципальных жилых домов</t>
  </si>
  <si>
    <t>Мероприятие 3.3.7.                                                                                       Ремонт фасада здания Усольского городского совета ветеранов, по адресу: ул. Молотовая,92; ремонт нежилого помещения по адресу: пр-кт Космонавтов,32</t>
  </si>
  <si>
    <t>Мероприятие 3.3.8.                             Переустройство, перепланировка нежилого помещения по адресу: г. Усолье-Сибирское, пр-т Космонавтов,32</t>
  </si>
  <si>
    <t>Мероприятие 3.3.9.                                      Охрана электрооборудования, расположенного на территории промышленной площадки "Усольехимпорм"</t>
  </si>
  <si>
    <t>Мероприятие 3.3.10. Приобретение и установка пожарной сигнализации по адресу: Молотовая 92</t>
  </si>
  <si>
    <t>Мероприятие 3.3.11. Ремонт крыльца здания Совета ветеранов, г.Усолье-Сибирское, Молотовая,92.</t>
  </si>
  <si>
    <t>Основное мероприятие 3.4. 
Руководство и управление в сфере установленных функций</t>
  </si>
  <si>
    <t>Мероприятие 3.4.1.                                                                        Обеспечение деятельности Комитета по управлению муниципальным имуществом администрации города</t>
  </si>
  <si>
    <t>Мероприятие 3.4.2.                                                                          Услуги по сопровождению программного обеспечения</t>
  </si>
  <si>
    <t xml:space="preserve">Мероприятие 3.4.3.                                                                        Повышение квалификации сотрудников комитета по управлению муниципальным имуществом, проведение специальной оценки условий труда </t>
  </si>
  <si>
    <t>Мероприятие 3.1.18. Приобретение специализированной техники</t>
  </si>
  <si>
    <t>Основное мероприятие 4.22. Выплаты семейным парам за долгий брак ко Дню семьи, любви и верности</t>
  </si>
  <si>
    <t>Основное мероприятие 4.23. Организация и проведение конкурса "Моя усольская семья"</t>
  </si>
  <si>
    <r>
      <t xml:space="preserve">"Совершенствование муниципального регулирования" на 2019-2027 годы  </t>
    </r>
    <r>
      <rPr>
        <sz val="16"/>
        <rFont val="Times New Roman"/>
        <family val="1"/>
        <charset val="204"/>
      </rPr>
      <t>(далее - Программа)</t>
    </r>
  </si>
  <si>
    <t>2027 год</t>
  </si>
  <si>
    <t xml:space="preserve">Муниципальная программа города Усолье-Сибирское "Совершенствование муниципального регулирования"                                                     на 2019-2027 годы </t>
  </si>
  <si>
    <t>Подпрограмма 1 "Управление муниципальными финансами города Усолье-Сибирское"                                                                                              на 2019-2027 годы</t>
  </si>
  <si>
    <t>Подпрограмма 3 "Обеспечение эффективного управления и распоряжения земельными участками и муниципальным имуществом на территории муниципального образования "город Усолье-Сибирское" на 2019-2027 годы</t>
  </si>
  <si>
    <t>Подпрограмма 4 "Совершенствование муниципального управления города Усолье-Сибирское" на 2019-2027 годы</t>
  </si>
  <si>
    <t>Подпрограмма 2 "Повышение эффективности бюджетных расходов города Усолье-Сибирское"                                         на 2019-2027 годы</t>
  </si>
  <si>
    <t>Мероприятие 3.1.19. Приобретение объектов недвижимого имущества в собственность муниципального образования "город Усолье-Сибирское"</t>
  </si>
  <si>
    <t>к постановлению администрации города Усолье-Сибирское</t>
  </si>
  <si>
    <t xml:space="preserve">                                                                              "Приложение 3</t>
  </si>
  <si>
    <t xml:space="preserve">                                                             "Совершенствование муниципального регулирования" на 2019-2027 гг."</t>
  </si>
  <si>
    <t>Мероприятие 4.3.3.                                                                                       Актуализация/разработка комплексной системы организации дорожного движения, комплексной схемы организации транспортного обслуживания, программы комплексного развития транспортной инфраструктуры, проекта "Организация дорожного движения на автомобильных дорогах общего пользования местного значения" муниципального образования "город Усолье-Сибирское"</t>
  </si>
  <si>
    <t>Приложение 1</t>
  </si>
  <si>
    <t xml:space="preserve">Мероприятие 3.3.12. Переустройство, перепланировка и ремонт нежилого помещения по адресу г. Усолье-Сибирское, ул. Молотовая, д.80А  </t>
  </si>
  <si>
    <t>Мэр города                                                                                                                                                                                                                                  М.В. Торопкин</t>
  </si>
  <si>
    <t>от 22.10.2025 № 1902-па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</si>
</sst>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4"/>
      <name val="Times New Roman"/>
      <family val="1"/>
      <charset val="204"/>
    </font>
    <font>
      <sz val="14"/>
      <name val="Times New Roman"/>
      <family val="1"/>
      <charset val="204"/>
    </font>
    <font>
      <sz val="11"/>
      <name val="Times New Roman"/>
      <family val="1"/>
      <charset val="204"/>
    </font>
    <font>
      <b/>
      <sz val="16"/>
      <name val="Times New Roman"/>
      <family val="1"/>
      <charset val="204"/>
    </font>
    <font>
      <sz val="16"/>
      <name val="Times New Roman"/>
      <family val="1"/>
      <charset val="204"/>
    </font>
    <font>
      <sz val="11"/>
      <name val="Calibri"/>
      <family val="2"/>
      <scheme val="minor"/>
    </font>
    <font>
      <b/>
      <sz val="11"/>
      <name val="Calibri"/>
      <family val="2"/>
      <scheme val="minor"/>
    </font>
    <font>
      <b/>
      <sz val="22"/>
      <name val="Times New Roman"/>
      <family val="1"/>
      <charset val="204"/>
    </font>
    <font>
      <sz val="16"/>
      <color theme="1"/>
      <name val="Times New Roman"/>
      <family val="1"/>
      <charset val="204"/>
    </font>
    <font>
      <b/>
      <sz val="16"/>
      <color theme="1"/>
      <name val="Times New Roman"/>
      <family val="1"/>
      <charset val="204"/>
    </font>
    <font>
      <b/>
      <sz val="11"/>
      <name val="Calibri"/>
      <family val="2"/>
      <charset val="204"/>
      <scheme val="minor"/>
    </font>
    <font>
      <sz val="11"/>
      <name val="Calibri"/>
      <family val="2"/>
      <charset val="204"/>
      <scheme val="minor"/>
    </font>
  </fonts>
  <fills count="3">
    <fill>
      <patternFill patternType="none"/>
    </fill>
    <fill>
      <patternFill patternType="gray125"/>
    </fill>
    <fill>
      <patternFill patternType="solid">
        <fgColor theme="0"/>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thin">
        <color auto="1"/>
      </top>
      <bottom style="thin">
        <color auto="1"/>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medium">
        <color indexed="64"/>
      </top>
      <bottom style="thin">
        <color auto="1"/>
      </bottom>
      <diagonal/>
    </border>
    <border>
      <left style="thin">
        <color auto="1"/>
      </left>
      <right style="medium">
        <color indexed="64"/>
      </right>
      <top style="thin">
        <color auto="1"/>
      </top>
      <bottom/>
      <diagonal/>
    </border>
    <border>
      <left style="medium">
        <color indexed="64"/>
      </left>
      <right style="medium">
        <color indexed="64"/>
      </right>
      <top style="thin">
        <color auto="1"/>
      </top>
      <bottom/>
      <diagonal/>
    </border>
    <border>
      <left style="thin">
        <color auto="1"/>
      </left>
      <right/>
      <top/>
      <bottom style="thin">
        <color auto="1"/>
      </bottom>
      <diagonal/>
    </border>
    <border>
      <left style="thin">
        <color auto="1"/>
      </left>
      <right style="medium">
        <color indexed="64"/>
      </right>
      <top/>
      <bottom style="thin">
        <color auto="1"/>
      </bottom>
      <diagonal/>
    </border>
    <border>
      <left style="thin">
        <color auto="1"/>
      </left>
      <right/>
      <top style="thin">
        <color auto="1"/>
      </top>
      <bottom style="thin">
        <color auto="1"/>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top style="thin">
        <color auto="1"/>
      </top>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thin">
        <color auto="1"/>
      </bottom>
      <diagonal/>
    </border>
    <border>
      <left style="thin">
        <color auto="1"/>
      </left>
      <right style="thin">
        <color auto="1"/>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thin">
        <color auto="1"/>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medium">
        <color indexed="64"/>
      </bottom>
      <diagonal/>
    </border>
    <border>
      <left/>
      <right style="thin">
        <color auto="1"/>
      </right>
      <top style="thin">
        <color auto="1"/>
      </top>
      <bottom style="thin">
        <color auto="1"/>
      </bottom>
      <diagonal/>
    </border>
  </borders>
  <cellStyleXfs count="1">
    <xf numFmtId="0" fontId="0" fillId="0" borderId="0"/>
  </cellStyleXfs>
  <cellXfs count="131">
    <xf numFmtId="0" fontId="0" fillId="0" borderId="0" xfId="0"/>
    <xf numFmtId="0" fontId="2" fillId="0" borderId="7" xfId="0" applyFont="1" applyBorder="1" applyAlignment="1">
      <alignment horizontal="center" vertical="center" wrapText="1"/>
    </xf>
    <xf numFmtId="0" fontId="2" fillId="0" borderId="1" xfId="0" applyFont="1" applyBorder="1" applyAlignment="1">
      <alignment horizontal="center" vertical="center" wrapText="1"/>
    </xf>
    <xf numFmtId="4" fontId="5" fillId="0" borderId="1" xfId="0" applyNumberFormat="1" applyFont="1" applyBorder="1" applyAlignment="1">
      <alignment horizontal="center" vertical="center" wrapText="1"/>
    </xf>
    <xf numFmtId="0" fontId="2" fillId="0" borderId="24"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2" xfId="0" applyFont="1" applyBorder="1" applyAlignment="1">
      <alignment horizontal="center" vertical="center" wrapText="1"/>
    </xf>
    <xf numFmtId="0" fontId="6" fillId="0" borderId="0" xfId="0" applyFont="1" applyAlignment="1">
      <alignment horizontal="center"/>
    </xf>
    <xf numFmtId="0" fontId="6" fillId="0" borderId="0" xfId="0" applyFont="1"/>
    <xf numFmtId="0" fontId="6" fillId="0" borderId="0" xfId="0" applyFont="1" applyAlignment="1">
      <alignment horizontal="center" vertical="center"/>
    </xf>
    <xf numFmtId="0" fontId="2" fillId="0" borderId="0" xfId="0" applyFont="1" applyAlignment="1">
      <alignment horizontal="center" vertical="center"/>
    </xf>
    <xf numFmtId="0" fontId="1" fillId="0" borderId="8" xfId="0" applyFont="1" applyBorder="1" applyAlignment="1">
      <alignment horizontal="center"/>
    </xf>
    <xf numFmtId="0" fontId="1" fillId="0" borderId="7" xfId="0" applyFont="1" applyBorder="1" applyAlignment="1">
      <alignment horizontal="center" vertical="center" wrapText="1"/>
    </xf>
    <xf numFmtId="0" fontId="7" fillId="0" borderId="0" xfId="0" applyFont="1"/>
    <xf numFmtId="4" fontId="6" fillId="0" borderId="0" xfId="0" applyNumberFormat="1" applyFont="1"/>
    <xf numFmtId="0" fontId="2" fillId="0" borderId="5"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7" xfId="0" applyFont="1" applyBorder="1" applyAlignment="1">
      <alignment horizontal="center"/>
    </xf>
    <xf numFmtId="0" fontId="2" fillId="0" borderId="11" xfId="0" applyFont="1" applyBorder="1" applyAlignment="1">
      <alignment horizontal="center" vertical="top" wrapText="1"/>
    </xf>
    <xf numFmtId="0" fontId="2" fillId="0" borderId="13" xfId="0" applyFont="1" applyBorder="1" applyAlignment="1">
      <alignment horizontal="center" vertical="top" wrapText="1"/>
    </xf>
    <xf numFmtId="0" fontId="2" fillId="0" borderId="1" xfId="0" applyFont="1" applyBorder="1" applyAlignment="1">
      <alignment horizontal="center" vertical="top" wrapText="1"/>
    </xf>
    <xf numFmtId="0" fontId="2" fillId="0" borderId="21" xfId="0" applyFont="1" applyBorder="1" applyAlignment="1">
      <alignment horizontal="center" vertical="center" wrapText="1"/>
    </xf>
    <xf numFmtId="4" fontId="5" fillId="0" borderId="0" xfId="0" applyNumberFormat="1" applyFont="1" applyAlignment="1">
      <alignment horizontal="right" vertical="center"/>
    </xf>
    <xf numFmtId="4" fontId="5" fillId="0" borderId="0" xfId="0" applyNumberFormat="1" applyFont="1" applyAlignment="1">
      <alignment horizontal="right" vertical="center" wrapText="1"/>
    </xf>
    <xf numFmtId="0" fontId="2" fillId="0" borderId="17" xfId="0" applyFont="1" applyBorder="1" applyAlignment="1">
      <alignment horizontal="center" vertical="top" wrapText="1"/>
    </xf>
    <xf numFmtId="4" fontId="9" fillId="0" borderId="1" xfId="0" applyNumberFormat="1" applyFont="1" applyBorder="1" applyAlignment="1">
      <alignment horizontal="center" vertical="center" wrapText="1"/>
    </xf>
    <xf numFmtId="4" fontId="5" fillId="0" borderId="34" xfId="0" applyNumberFormat="1" applyFont="1" applyBorder="1" applyAlignment="1">
      <alignment horizontal="center" vertical="center" wrapText="1"/>
    </xf>
    <xf numFmtId="0" fontId="3" fillId="0" borderId="0" xfId="0" applyFont="1" applyAlignment="1">
      <alignment horizontal="center" vertical="top"/>
    </xf>
    <xf numFmtId="0" fontId="6" fillId="0" borderId="0" xfId="0" applyFont="1" applyAlignment="1">
      <alignment horizontal="center" vertical="top"/>
    </xf>
    <xf numFmtId="4" fontId="4" fillId="0" borderId="1" xfId="0" applyNumberFormat="1" applyFont="1" applyBorder="1" applyAlignment="1">
      <alignment horizontal="center" vertical="center"/>
    </xf>
    <xf numFmtId="4" fontId="10" fillId="0" borderId="1"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4" fontId="5" fillId="0" borderId="13" xfId="0" applyNumberFormat="1" applyFont="1" applyBorder="1" applyAlignment="1">
      <alignment horizontal="center" vertical="center"/>
    </xf>
    <xf numFmtId="4" fontId="5" fillId="0" borderId="1" xfId="0" applyNumberFormat="1" applyFont="1" applyBorder="1" applyAlignment="1">
      <alignment horizontal="center" vertical="top"/>
    </xf>
    <xf numFmtId="4" fontId="10" fillId="0" borderId="34" xfId="0" applyNumberFormat="1" applyFont="1" applyBorder="1" applyAlignment="1">
      <alignment horizontal="center" vertical="center" wrapText="1"/>
    </xf>
    <xf numFmtId="4" fontId="5" fillId="0" borderId="0" xfId="0" applyNumberFormat="1" applyFont="1" applyAlignment="1">
      <alignment horizontal="center" vertical="center"/>
    </xf>
    <xf numFmtId="0" fontId="2" fillId="0" borderId="18" xfId="0" applyFont="1" applyBorder="1" applyAlignment="1">
      <alignment horizontal="center" vertical="center" wrapText="1"/>
    </xf>
    <xf numFmtId="0" fontId="2" fillId="0" borderId="18" xfId="0" applyFont="1" applyBorder="1" applyAlignment="1">
      <alignment horizontal="center" vertical="top" wrapText="1"/>
    </xf>
    <xf numFmtId="0" fontId="2" fillId="0" borderId="6" xfId="0" applyFont="1" applyBorder="1" applyAlignment="1">
      <alignment horizontal="center" vertical="center" wrapText="1"/>
    </xf>
    <xf numFmtId="0" fontId="1" fillId="0" borderId="6" xfId="0" applyFont="1" applyBorder="1" applyAlignment="1">
      <alignment horizontal="center" vertical="center" wrapText="1"/>
    </xf>
    <xf numFmtId="0" fontId="2" fillId="0" borderId="0" xfId="0" applyFont="1" applyAlignment="1">
      <alignment horizontal="center" vertical="top"/>
    </xf>
    <xf numFmtId="4" fontId="5" fillId="0" borderId="34" xfId="0" applyNumberFormat="1" applyFont="1" applyBorder="1" applyAlignment="1">
      <alignment horizontal="center" vertical="center"/>
    </xf>
    <xf numFmtId="0" fontId="1" fillId="0" borderId="13" xfId="0" applyFont="1" applyBorder="1" applyAlignment="1">
      <alignment horizontal="center" vertical="center" wrapText="1"/>
    </xf>
    <xf numFmtId="4" fontId="4" fillId="0" borderId="34" xfId="0" applyNumberFormat="1" applyFont="1" applyBorder="1" applyAlignment="1">
      <alignment horizontal="center" vertical="center"/>
    </xf>
    <xf numFmtId="4" fontId="5" fillId="0" borderId="1" xfId="0" applyNumberFormat="1" applyFont="1" applyBorder="1" applyAlignment="1">
      <alignment horizontal="center" vertical="center"/>
    </xf>
    <xf numFmtId="4" fontId="4" fillId="0" borderId="13" xfId="0" applyNumberFormat="1" applyFont="1" applyBorder="1" applyAlignment="1">
      <alignment horizontal="center" vertical="center"/>
    </xf>
    <xf numFmtId="4" fontId="5" fillId="0" borderId="13" xfId="0" applyNumberFormat="1" applyFont="1" applyBorder="1" applyAlignment="1">
      <alignment horizontal="center" vertical="center" wrapText="1"/>
    </xf>
    <xf numFmtId="4" fontId="9" fillId="0" borderId="13" xfId="0" applyNumberFormat="1" applyFont="1" applyBorder="1" applyAlignment="1">
      <alignment horizontal="center" vertical="center" wrapText="1"/>
    </xf>
    <xf numFmtId="4" fontId="10" fillId="0" borderId="13" xfId="0" applyNumberFormat="1" applyFont="1" applyBorder="1" applyAlignment="1">
      <alignment horizontal="center" vertical="center" wrapText="1"/>
    </xf>
    <xf numFmtId="4" fontId="4" fillId="0" borderId="13" xfId="0" applyNumberFormat="1" applyFont="1" applyBorder="1" applyAlignment="1">
      <alignment horizontal="center" vertical="center" wrapText="1"/>
    </xf>
    <xf numFmtId="4" fontId="5" fillId="0" borderId="13" xfId="0" applyNumberFormat="1" applyFont="1" applyBorder="1" applyAlignment="1">
      <alignment horizontal="center" vertical="top"/>
    </xf>
    <xf numFmtId="0" fontId="11" fillId="0" borderId="0" xfId="0" applyFont="1"/>
    <xf numFmtId="0" fontId="12" fillId="0" borderId="0" xfId="0" applyFont="1"/>
    <xf numFmtId="4" fontId="12" fillId="0" borderId="0" xfId="0" applyNumberFormat="1" applyFont="1"/>
    <xf numFmtId="4" fontId="4" fillId="0" borderId="34" xfId="0" applyNumberFormat="1" applyFont="1" applyBorder="1" applyAlignment="1">
      <alignment horizontal="center" vertical="center" wrapText="1"/>
    </xf>
    <xf numFmtId="0" fontId="2" fillId="2" borderId="11" xfId="0" applyFont="1" applyFill="1" applyBorder="1" applyAlignment="1">
      <alignment horizontal="center" vertical="center" wrapText="1"/>
    </xf>
    <xf numFmtId="0" fontId="1" fillId="0" borderId="13" xfId="0" applyFont="1" applyBorder="1" applyAlignment="1">
      <alignment horizontal="center" vertical="top" wrapText="1"/>
    </xf>
    <xf numFmtId="0" fontId="1" fillId="0" borderId="2" xfId="0" applyFont="1" applyBorder="1" applyAlignment="1">
      <alignment horizontal="center" vertical="center" wrapText="1"/>
    </xf>
    <xf numFmtId="0" fontId="2" fillId="2" borderId="0" xfId="0" applyFont="1" applyFill="1" applyAlignment="1">
      <alignment horizontal="center" vertical="center"/>
    </xf>
    <xf numFmtId="0" fontId="6" fillId="2" borderId="0" xfId="0" applyFont="1" applyFill="1" applyAlignment="1">
      <alignment horizontal="center" vertical="center"/>
    </xf>
    <xf numFmtId="4" fontId="4" fillId="2" borderId="1" xfId="0" applyNumberFormat="1" applyFont="1" applyFill="1" applyBorder="1" applyAlignment="1">
      <alignment horizontal="center" vertical="center"/>
    </xf>
    <xf numFmtId="4" fontId="5" fillId="2" borderId="1" xfId="0" applyNumberFormat="1" applyFont="1" applyFill="1" applyBorder="1" applyAlignment="1">
      <alignment horizontal="center" vertical="center" wrapText="1"/>
    </xf>
    <xf numFmtId="4" fontId="10" fillId="2" borderId="1" xfId="0" applyNumberFormat="1" applyFont="1" applyFill="1" applyBorder="1" applyAlignment="1">
      <alignment horizontal="center" vertical="center" wrapText="1"/>
    </xf>
    <xf numFmtId="4" fontId="4" fillId="2" borderId="1" xfId="0" applyNumberFormat="1" applyFont="1" applyFill="1" applyBorder="1" applyAlignment="1">
      <alignment horizontal="center" vertical="center" wrapText="1"/>
    </xf>
    <xf numFmtId="4" fontId="5" fillId="2" borderId="13" xfId="0" applyNumberFormat="1" applyFont="1" applyFill="1" applyBorder="1" applyAlignment="1">
      <alignment horizontal="center" vertical="center" wrapText="1"/>
    </xf>
    <xf numFmtId="4" fontId="5" fillId="2" borderId="1" xfId="0" applyNumberFormat="1" applyFont="1" applyFill="1" applyBorder="1" applyAlignment="1">
      <alignment horizontal="center" vertical="center"/>
    </xf>
    <xf numFmtId="4" fontId="5" fillId="2" borderId="13" xfId="0" applyNumberFormat="1" applyFont="1" applyFill="1" applyBorder="1" applyAlignment="1">
      <alignment horizontal="center" vertical="center"/>
    </xf>
    <xf numFmtId="4" fontId="5" fillId="2" borderId="1" xfId="0" applyNumberFormat="1" applyFont="1" applyFill="1" applyBorder="1" applyAlignment="1">
      <alignment horizontal="center" vertical="top"/>
    </xf>
    <xf numFmtId="0" fontId="2" fillId="0" borderId="0" xfId="0" applyFont="1" applyAlignment="1">
      <alignment horizontal="center" vertical="top" wrapText="1"/>
    </xf>
    <xf numFmtId="0" fontId="2" fillId="0" borderId="0" xfId="0" applyFont="1" applyAlignment="1">
      <alignment horizontal="center" vertical="center" wrapText="1"/>
    </xf>
    <xf numFmtId="4" fontId="5" fillId="2" borderId="0" xfId="0" applyNumberFormat="1" applyFont="1" applyFill="1" applyAlignment="1">
      <alignment horizontal="center" vertical="center"/>
    </xf>
    <xf numFmtId="4" fontId="2" fillId="2" borderId="0" xfId="0" applyNumberFormat="1" applyFont="1" applyFill="1" applyAlignment="1">
      <alignment horizontal="right" vertical="center"/>
    </xf>
    <xf numFmtId="0" fontId="2" fillId="0" borderId="23" xfId="0" applyFont="1" applyBorder="1" applyAlignment="1">
      <alignment horizontal="center" vertical="top" wrapText="1"/>
    </xf>
    <xf numFmtId="0" fontId="2" fillId="0" borderId="29" xfId="0" applyFont="1" applyBorder="1" applyAlignment="1">
      <alignment horizontal="center" vertical="top" wrapText="1"/>
    </xf>
    <xf numFmtId="0" fontId="2" fillId="0" borderId="18"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0" xfId="0" applyFont="1" applyAlignment="1">
      <alignment horizontal="center" vertical="top"/>
    </xf>
    <xf numFmtId="0" fontId="1" fillId="0" borderId="9"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2" xfId="0" applyFont="1" applyBorder="1" applyAlignment="1">
      <alignment horizontal="center" vertical="center" wrapText="1"/>
    </xf>
    <xf numFmtId="0" fontId="4" fillId="0" borderId="0" xfId="0" applyFont="1" applyAlignment="1">
      <alignment horizontal="center" vertical="center" wrapText="1"/>
    </xf>
    <xf numFmtId="0" fontId="1" fillId="0" borderId="30" xfId="0" applyFont="1" applyBorder="1" applyAlignment="1">
      <alignment horizontal="center" vertical="center"/>
    </xf>
    <xf numFmtId="0" fontId="1" fillId="0" borderId="25" xfId="0" applyFont="1" applyBorder="1" applyAlignment="1">
      <alignment horizontal="center" vertical="center"/>
    </xf>
    <xf numFmtId="0" fontId="1" fillId="0" borderId="31" xfId="0" applyFont="1" applyBorder="1" applyAlignment="1">
      <alignment horizontal="center" vertical="center"/>
    </xf>
    <xf numFmtId="0" fontId="1" fillId="0" borderId="22" xfId="0" applyFont="1" applyBorder="1" applyAlignment="1">
      <alignment horizontal="center" vertical="center"/>
    </xf>
    <xf numFmtId="0" fontId="1" fillId="0" borderId="1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1" fillId="0" borderId="6" xfId="0" applyFont="1" applyBorder="1" applyAlignment="1">
      <alignment horizontal="center" vertical="center"/>
    </xf>
    <xf numFmtId="0" fontId="1" fillId="0" borderId="28" xfId="0" applyFont="1" applyBorder="1" applyAlignment="1">
      <alignment horizontal="center" vertical="center"/>
    </xf>
    <xf numFmtId="0" fontId="1" fillId="0" borderId="17"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15" xfId="0" applyFont="1" applyBorder="1" applyAlignment="1">
      <alignment horizontal="center" vertical="center" wrapText="1"/>
    </xf>
    <xf numFmtId="4" fontId="5" fillId="2" borderId="1" xfId="0" applyNumberFormat="1" applyFont="1" applyFill="1" applyBorder="1" applyAlignment="1">
      <alignment horizontal="center" vertical="center"/>
    </xf>
    <xf numFmtId="4" fontId="5" fillId="0" borderId="16" xfId="0" applyNumberFormat="1" applyFont="1" applyBorder="1" applyAlignment="1">
      <alignment horizontal="center" vertical="center"/>
    </xf>
    <xf numFmtId="4" fontId="5" fillId="0" borderId="11" xfId="0" applyNumberFormat="1" applyFont="1" applyBorder="1" applyAlignment="1">
      <alignment horizontal="center" vertical="center"/>
    </xf>
    <xf numFmtId="0" fontId="2" fillId="0" borderId="0" xfId="0" applyFont="1" applyAlignment="1">
      <alignment horizontal="right"/>
    </xf>
    <xf numFmtId="0" fontId="2" fillId="0" borderId="0" xfId="0" applyFont="1" applyAlignment="1">
      <alignment horizontal="right" vertical="top"/>
    </xf>
    <xf numFmtId="0" fontId="1" fillId="0" borderId="1" xfId="0" applyFont="1" applyBorder="1" applyAlignment="1">
      <alignment horizontal="center" vertical="center"/>
    </xf>
    <xf numFmtId="0" fontId="1" fillId="0" borderId="11" xfId="0" applyFont="1" applyBorder="1" applyAlignment="1">
      <alignment horizontal="center" vertical="center"/>
    </xf>
    <xf numFmtId="0" fontId="1" fillId="0" borderId="33" xfId="0" applyFont="1" applyBorder="1" applyAlignment="1">
      <alignment horizontal="center" vertical="center"/>
    </xf>
    <xf numFmtId="0" fontId="1" fillId="2" borderId="1" xfId="0" applyFont="1" applyFill="1" applyBorder="1" applyAlignment="1">
      <alignment horizontal="center" vertical="center"/>
    </xf>
    <xf numFmtId="4" fontId="5" fillId="0" borderId="1" xfId="0" applyNumberFormat="1" applyFont="1" applyBorder="1" applyAlignment="1">
      <alignment horizontal="center" vertical="center"/>
    </xf>
    <xf numFmtId="0" fontId="2" fillId="0" borderId="18" xfId="0" applyFont="1" applyBorder="1" applyAlignment="1">
      <alignment horizontal="center" vertical="top" wrapText="1"/>
    </xf>
    <xf numFmtId="0" fontId="2" fillId="0" borderId="32" xfId="0" applyFont="1" applyBorder="1" applyAlignment="1">
      <alignment horizontal="center" vertical="top" wrapText="1"/>
    </xf>
    <xf numFmtId="0" fontId="2" fillId="0" borderId="31" xfId="0" applyFont="1" applyBorder="1" applyAlignment="1">
      <alignment horizontal="center" vertical="top" wrapText="1"/>
    </xf>
    <xf numFmtId="0" fontId="2" fillId="0" borderId="9" xfId="0" applyFont="1" applyBorder="1" applyAlignment="1">
      <alignment horizontal="center" vertical="top" wrapText="1"/>
    </xf>
    <xf numFmtId="0" fontId="2" fillId="0" borderId="14" xfId="0" applyFont="1" applyBorder="1" applyAlignment="1">
      <alignment horizontal="center" vertical="top" wrapText="1"/>
    </xf>
    <xf numFmtId="0" fontId="2" fillId="0" borderId="12" xfId="0" applyFont="1" applyBorder="1" applyAlignment="1">
      <alignment horizontal="center" vertical="top" wrapText="1"/>
    </xf>
    <xf numFmtId="0" fontId="1" fillId="0" borderId="6" xfId="0" applyFont="1" applyBorder="1" applyAlignment="1">
      <alignment horizontal="center" vertical="center" wrapText="1"/>
    </xf>
    <xf numFmtId="0" fontId="8" fillId="0" borderId="0" xfId="0" applyFont="1" applyAlignment="1">
      <alignment horizontal="left" vertical="top" wrapText="1"/>
    </xf>
    <xf numFmtId="4" fontId="2" fillId="0" borderId="0" xfId="0" applyNumberFormat="1" applyFont="1" applyAlignment="1">
      <alignment horizontal="right" vertical="center"/>
    </xf>
    <xf numFmtId="0" fontId="2" fillId="0" borderId="0" xfId="0" applyFont="1" applyAlignment="1">
      <alignment horizontal="right" vertical="center"/>
    </xf>
    <xf numFmtId="4" fontId="5" fillId="0" borderId="34" xfId="0" applyNumberFormat="1" applyFont="1" applyBorder="1" applyAlignment="1">
      <alignment horizontal="center" vertical="center"/>
    </xf>
    <xf numFmtId="0" fontId="1" fillId="0" borderId="3"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4" xfId="0" applyFont="1" applyBorder="1" applyAlignment="1">
      <alignment horizontal="center" vertical="center" wrapText="1"/>
    </xf>
    <xf numFmtId="4" fontId="4" fillId="0" borderId="34" xfId="0" applyNumberFormat="1" applyFont="1" applyBorder="1" applyAlignment="1">
      <alignment horizontal="center" vertical="center"/>
    </xf>
    <xf numFmtId="4" fontId="5" fillId="0" borderId="18" xfId="0" applyNumberFormat="1" applyFont="1" applyBorder="1" applyAlignment="1">
      <alignment horizontal="center" vertical="center"/>
    </xf>
    <xf numFmtId="4" fontId="5" fillId="0" borderId="31" xfId="0" applyNumberFormat="1" applyFont="1" applyBorder="1" applyAlignment="1">
      <alignment horizontal="center" vertical="center"/>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Z152"/>
  <sheetViews>
    <sheetView tabSelected="1" topLeftCell="C1" zoomScale="68" zoomScaleNormal="68" workbookViewId="0">
      <selection activeCell="E11" sqref="E11:M11"/>
    </sheetView>
  </sheetViews>
  <sheetFormatPr defaultColWidth="9.109375" defaultRowHeight="21" outlineLevelRow="1" x14ac:dyDescent="0.3"/>
  <cols>
    <col min="1" max="1" width="52.6640625" style="9" customWidth="1"/>
    <col min="2" max="2" width="31" style="10" customWidth="1"/>
    <col min="3" max="3" width="26.33203125" style="10" customWidth="1"/>
    <col min="4" max="4" width="26.33203125" style="11" customWidth="1"/>
    <col min="5" max="7" width="25.6640625" style="11" customWidth="1"/>
    <col min="8" max="8" width="25.109375" style="11" customWidth="1"/>
    <col min="9" max="10" width="25.6640625" style="11" customWidth="1"/>
    <col min="11" max="11" width="25.6640625" style="61" customWidth="1"/>
    <col min="12" max="12" width="25.6640625" style="11" customWidth="1"/>
    <col min="13" max="13" width="24.88671875" style="37" customWidth="1"/>
    <col min="14" max="14" width="9.109375" style="10"/>
    <col min="15" max="16" width="16.33203125" style="10" bestFit="1" customWidth="1"/>
    <col min="17" max="17" width="12" style="10" bestFit="1" customWidth="1"/>
    <col min="18" max="16384" width="9.109375" style="10"/>
  </cols>
  <sheetData>
    <row r="1" spans="1:13" ht="18" x14ac:dyDescent="0.3">
      <c r="J1" s="12"/>
      <c r="K1" s="60"/>
      <c r="L1" s="12"/>
      <c r="M1" s="73" t="s">
        <v>149</v>
      </c>
    </row>
    <row r="2" spans="1:13" ht="15" customHeight="1" x14ac:dyDescent="0.3">
      <c r="J2" s="121" t="s">
        <v>145</v>
      </c>
      <c r="K2" s="121"/>
      <c r="L2" s="121"/>
      <c r="M2" s="121"/>
    </row>
    <row r="3" spans="1:13" ht="20.25" customHeight="1" x14ac:dyDescent="0.3">
      <c r="J3" s="12"/>
      <c r="K3" s="60"/>
      <c r="L3" s="122" t="s">
        <v>152</v>
      </c>
      <c r="M3" s="122"/>
    </row>
    <row r="4" spans="1:13" ht="21" customHeight="1" outlineLevel="1" x14ac:dyDescent="0.35">
      <c r="G4" s="12"/>
      <c r="H4" s="29"/>
      <c r="I4" s="42"/>
      <c r="J4" s="106" t="s">
        <v>146</v>
      </c>
      <c r="K4" s="106"/>
      <c r="L4" s="106"/>
      <c r="M4" s="106"/>
    </row>
    <row r="5" spans="1:13" ht="21" customHeight="1" outlineLevel="1" x14ac:dyDescent="0.3">
      <c r="G5" s="12"/>
      <c r="H5" s="107" t="s">
        <v>53</v>
      </c>
      <c r="I5" s="107"/>
      <c r="J5" s="107"/>
      <c r="K5" s="107"/>
      <c r="L5" s="107"/>
      <c r="M5" s="107"/>
    </row>
    <row r="6" spans="1:13" ht="21" customHeight="1" outlineLevel="1" x14ac:dyDescent="0.3">
      <c r="G6" s="12"/>
      <c r="H6" s="107" t="s">
        <v>147</v>
      </c>
      <c r="I6" s="107"/>
      <c r="J6" s="107"/>
      <c r="K6" s="107"/>
      <c r="L6" s="107"/>
      <c r="M6" s="107"/>
    </row>
    <row r="7" spans="1:13" ht="28.2" customHeight="1" outlineLevel="1" x14ac:dyDescent="0.3">
      <c r="G7" s="12"/>
      <c r="H7" s="30"/>
      <c r="I7" s="78"/>
      <c r="J7" s="78"/>
      <c r="K7" s="78"/>
      <c r="L7" s="78"/>
    </row>
    <row r="8" spans="1:13" ht="30" customHeight="1" x14ac:dyDescent="0.3">
      <c r="A8" s="82" t="s">
        <v>30</v>
      </c>
      <c r="B8" s="82"/>
      <c r="C8" s="82"/>
      <c r="D8" s="82"/>
      <c r="E8" s="82"/>
      <c r="F8" s="82"/>
      <c r="G8" s="82"/>
      <c r="H8" s="82"/>
      <c r="I8" s="82"/>
      <c r="J8" s="82"/>
      <c r="K8" s="82"/>
      <c r="L8" s="9"/>
    </row>
    <row r="9" spans="1:13" ht="30" customHeight="1" x14ac:dyDescent="0.3">
      <c r="A9" s="82" t="s">
        <v>137</v>
      </c>
      <c r="B9" s="82"/>
      <c r="C9" s="82"/>
      <c r="D9" s="82"/>
      <c r="E9" s="82"/>
      <c r="F9" s="82"/>
      <c r="G9" s="82"/>
      <c r="H9" s="82"/>
      <c r="I9" s="82"/>
      <c r="J9" s="82"/>
      <c r="K9" s="82"/>
      <c r="L9" s="9"/>
    </row>
    <row r="10" spans="1:13" ht="1.2" customHeight="1" x14ac:dyDescent="0.3">
      <c r="G10" s="12"/>
    </row>
    <row r="11" spans="1:13" ht="48.75" customHeight="1" x14ac:dyDescent="0.3">
      <c r="A11" s="79" t="s">
        <v>32</v>
      </c>
      <c r="B11" s="88" t="s">
        <v>31</v>
      </c>
      <c r="C11" s="88" t="s">
        <v>0</v>
      </c>
      <c r="D11" s="99" t="s">
        <v>1</v>
      </c>
      <c r="E11" s="125" t="s">
        <v>28</v>
      </c>
      <c r="F11" s="126"/>
      <c r="G11" s="126"/>
      <c r="H11" s="126"/>
      <c r="I11" s="126"/>
      <c r="J11" s="126"/>
      <c r="K11" s="126"/>
      <c r="L11" s="126"/>
      <c r="M11" s="127"/>
    </row>
    <row r="12" spans="1:13" ht="48.75" customHeight="1" x14ac:dyDescent="0.3">
      <c r="A12" s="80"/>
      <c r="B12" s="89"/>
      <c r="C12" s="89"/>
      <c r="D12" s="100"/>
      <c r="E12" s="97" t="s">
        <v>16</v>
      </c>
      <c r="F12" s="83" t="s">
        <v>15</v>
      </c>
      <c r="G12" s="85" t="s">
        <v>18</v>
      </c>
      <c r="H12" s="85" t="s">
        <v>19</v>
      </c>
      <c r="I12" s="85" t="s">
        <v>20</v>
      </c>
      <c r="J12" s="109" t="s">
        <v>21</v>
      </c>
      <c r="K12" s="111" t="s">
        <v>46</v>
      </c>
      <c r="L12" s="108" t="s">
        <v>52</v>
      </c>
      <c r="M12" s="128" t="s">
        <v>138</v>
      </c>
    </row>
    <row r="13" spans="1:13" ht="41.4" customHeight="1" thickBot="1" x14ac:dyDescent="0.35">
      <c r="A13" s="87"/>
      <c r="B13" s="90"/>
      <c r="C13" s="90"/>
      <c r="D13" s="101"/>
      <c r="E13" s="98"/>
      <c r="F13" s="84"/>
      <c r="G13" s="86"/>
      <c r="H13" s="86"/>
      <c r="I13" s="86"/>
      <c r="J13" s="110"/>
      <c r="K13" s="111"/>
      <c r="L13" s="108"/>
      <c r="M13" s="128"/>
    </row>
    <row r="14" spans="1:13" ht="39.75" customHeight="1" x14ac:dyDescent="0.3">
      <c r="A14" s="102" t="s">
        <v>139</v>
      </c>
      <c r="B14" s="124" t="s">
        <v>24</v>
      </c>
      <c r="C14" s="13" t="s">
        <v>17</v>
      </c>
      <c r="D14" s="31">
        <f>D15+D16</f>
        <v>2740922289.1799998</v>
      </c>
      <c r="E14" s="31">
        <f t="shared" ref="E14:M14" si="0">E15+E16</f>
        <v>179894561</v>
      </c>
      <c r="F14" s="31">
        <f t="shared" si="0"/>
        <v>232113667.27000004</v>
      </c>
      <c r="G14" s="31">
        <f t="shared" si="0"/>
        <v>275289307.80999994</v>
      </c>
      <c r="H14" s="31">
        <f t="shared" si="0"/>
        <v>303454821.01999998</v>
      </c>
      <c r="I14" s="31">
        <f t="shared" si="0"/>
        <v>367997227.05000001</v>
      </c>
      <c r="J14" s="47">
        <f t="shared" si="0"/>
        <v>364243023.46000004</v>
      </c>
      <c r="K14" s="62">
        <f t="shared" si="0"/>
        <v>387281360.71000004</v>
      </c>
      <c r="L14" s="31">
        <f t="shared" si="0"/>
        <v>314724160.43000001</v>
      </c>
      <c r="M14" s="45">
        <f t="shared" si="0"/>
        <v>315924160.43000001</v>
      </c>
    </row>
    <row r="15" spans="1:13" ht="39.75" customHeight="1" x14ac:dyDescent="0.3">
      <c r="A15" s="80"/>
      <c r="B15" s="89"/>
      <c r="C15" s="41" t="s">
        <v>6</v>
      </c>
      <c r="D15" s="31">
        <f>SUM(E15:M15)</f>
        <v>2680352953.9899998</v>
      </c>
      <c r="E15" s="31">
        <f t="shared" ref="E15:M15" si="1">E17+E24+E80</f>
        <v>176322455.11000001</v>
      </c>
      <c r="F15" s="31">
        <f t="shared" si="1"/>
        <v>225291637.97000003</v>
      </c>
      <c r="G15" s="31">
        <f t="shared" si="1"/>
        <v>271052007.80999994</v>
      </c>
      <c r="H15" s="31">
        <f t="shared" si="1"/>
        <v>303454821.01999998</v>
      </c>
      <c r="I15" s="31">
        <f t="shared" si="1"/>
        <v>352059327.05000001</v>
      </c>
      <c r="J15" s="47">
        <f t="shared" si="1"/>
        <v>364243023.46000004</v>
      </c>
      <c r="K15" s="62">
        <f t="shared" si="1"/>
        <v>387281360.71000004</v>
      </c>
      <c r="L15" s="31">
        <f t="shared" si="1"/>
        <v>299724160.43000001</v>
      </c>
      <c r="M15" s="45">
        <f t="shared" si="1"/>
        <v>300924160.43000001</v>
      </c>
    </row>
    <row r="16" spans="1:13" ht="36" customHeight="1" x14ac:dyDescent="0.3">
      <c r="A16" s="81"/>
      <c r="B16" s="119"/>
      <c r="C16" s="41" t="s">
        <v>27</v>
      </c>
      <c r="D16" s="31">
        <f>SUM(E16:M16)</f>
        <v>60569335.189999998</v>
      </c>
      <c r="E16" s="31">
        <f t="shared" ref="E16:M16" si="2">E25+E81</f>
        <v>3572105.89</v>
      </c>
      <c r="F16" s="31">
        <f t="shared" si="2"/>
        <v>6822029.2999999998</v>
      </c>
      <c r="G16" s="31">
        <f t="shared" si="2"/>
        <v>4237300</v>
      </c>
      <c r="H16" s="31">
        <f t="shared" si="2"/>
        <v>0</v>
      </c>
      <c r="I16" s="31">
        <f t="shared" si="2"/>
        <v>15937900</v>
      </c>
      <c r="J16" s="47">
        <f t="shared" si="2"/>
        <v>0</v>
      </c>
      <c r="K16" s="62">
        <f t="shared" si="2"/>
        <v>0</v>
      </c>
      <c r="L16" s="31">
        <f t="shared" si="2"/>
        <v>15000000</v>
      </c>
      <c r="M16" s="45">
        <f t="shared" si="2"/>
        <v>15000000</v>
      </c>
    </row>
    <row r="17" spans="1:15" s="15" customFormat="1" ht="83.25" customHeight="1" x14ac:dyDescent="0.3">
      <c r="A17" s="44" t="s">
        <v>140</v>
      </c>
      <c r="B17" s="14" t="s">
        <v>12</v>
      </c>
      <c r="C17" s="14" t="s">
        <v>6</v>
      </c>
      <c r="D17" s="31">
        <f>SUM(E17:M17)</f>
        <v>164374502.56</v>
      </c>
      <c r="E17" s="31">
        <f t="shared" ref="E17:M17" si="3">E18+E20</f>
        <v>11125093.779999999</v>
      </c>
      <c r="F17" s="31">
        <f t="shared" si="3"/>
        <v>13072575.51</v>
      </c>
      <c r="G17" s="31">
        <f t="shared" si="3"/>
        <v>15272213.17</v>
      </c>
      <c r="H17" s="31">
        <f t="shared" si="3"/>
        <v>17812379.149999999</v>
      </c>
      <c r="I17" s="31">
        <f t="shared" si="3"/>
        <v>19233032.629999999</v>
      </c>
      <c r="J17" s="47">
        <f t="shared" si="3"/>
        <v>21300452.559999999</v>
      </c>
      <c r="K17" s="62">
        <f t="shared" si="3"/>
        <v>22078855.899999999</v>
      </c>
      <c r="L17" s="31">
        <f t="shared" si="3"/>
        <v>22239949.93</v>
      </c>
      <c r="M17" s="45">
        <f t="shared" si="3"/>
        <v>22239949.93</v>
      </c>
    </row>
    <row r="18" spans="1:15" s="54" customFormat="1" ht="108" customHeight="1" x14ac:dyDescent="0.3">
      <c r="A18" s="6" t="s">
        <v>94</v>
      </c>
      <c r="B18" s="1" t="s">
        <v>12</v>
      </c>
      <c r="C18" s="1" t="s">
        <v>6</v>
      </c>
      <c r="D18" s="3">
        <f>E18+F18+G18+H18+I18+J18+K18+L18+M18</f>
        <v>160517891.5</v>
      </c>
      <c r="E18" s="46">
        <v>11039960.58</v>
      </c>
      <c r="F18" s="3">
        <f>12734649.51+186313.35</f>
        <v>12920962.859999999</v>
      </c>
      <c r="G18" s="3">
        <f>12734649.51+2429860.25</f>
        <v>15164509.76</v>
      </c>
      <c r="H18" s="3">
        <f>15315461.54+1592673.91+325500</f>
        <v>17233635.449999999</v>
      </c>
      <c r="I18" s="3">
        <v>19063500.219999999</v>
      </c>
      <c r="J18" s="48">
        <v>21239949.93</v>
      </c>
      <c r="K18" s="63">
        <f>21239949.93+36895.97+92126.94+6500</f>
        <v>21375472.84</v>
      </c>
      <c r="L18" s="3">
        <v>21239949.93</v>
      </c>
      <c r="M18" s="3">
        <v>21239949.93</v>
      </c>
      <c r="O18" s="55"/>
    </row>
    <row r="19" spans="1:15" ht="70.2" customHeight="1" x14ac:dyDescent="0.3">
      <c r="A19" s="6" t="s">
        <v>95</v>
      </c>
      <c r="B19" s="1" t="s">
        <v>12</v>
      </c>
      <c r="C19" s="1" t="s">
        <v>6</v>
      </c>
      <c r="D19" s="27" t="s">
        <v>7</v>
      </c>
      <c r="E19" s="27" t="s">
        <v>7</v>
      </c>
      <c r="F19" s="27" t="s">
        <v>7</v>
      </c>
      <c r="G19" s="27" t="s">
        <v>7</v>
      </c>
      <c r="H19" s="27" t="s">
        <v>7</v>
      </c>
      <c r="I19" s="27" t="s">
        <v>7</v>
      </c>
      <c r="J19" s="49" t="s">
        <v>7</v>
      </c>
      <c r="K19" s="63" t="s">
        <v>7</v>
      </c>
      <c r="L19" s="3" t="s">
        <v>7</v>
      </c>
      <c r="M19" s="28" t="s">
        <v>7</v>
      </c>
    </row>
    <row r="20" spans="1:15" ht="87.75" customHeight="1" x14ac:dyDescent="0.3">
      <c r="A20" s="6" t="s">
        <v>96</v>
      </c>
      <c r="B20" s="1" t="s">
        <v>12</v>
      </c>
      <c r="C20" s="1" t="s">
        <v>6</v>
      </c>
      <c r="D20" s="3">
        <f>E20+F20+G20+H20+I20+J20+K20+L20+M20</f>
        <v>3856611.06</v>
      </c>
      <c r="E20" s="3">
        <f>376122.2-140000-150989</f>
        <v>85133.200000000012</v>
      </c>
      <c r="F20" s="3">
        <f>506122.2-45000-128247.67-181261.88</f>
        <v>151612.65000000002</v>
      </c>
      <c r="G20" s="3">
        <f>450000+1388789.04-500000-232280-45573.33-220000-733232.3</f>
        <v>107703.40999999992</v>
      </c>
      <c r="H20" s="3">
        <f>948743.7-70000-300000</f>
        <v>578743.69999999995</v>
      </c>
      <c r="I20" s="3">
        <v>169532.41</v>
      </c>
      <c r="J20" s="48">
        <f>1000000-939497.37</f>
        <v>60502.630000000005</v>
      </c>
      <c r="K20" s="63">
        <f>1000000-195616.94-94500-6500</f>
        <v>703383.06</v>
      </c>
      <c r="L20" s="3">
        <v>1000000</v>
      </c>
      <c r="M20" s="43">
        <v>1000000</v>
      </c>
    </row>
    <row r="21" spans="1:15" ht="232.5" customHeight="1" x14ac:dyDescent="0.3">
      <c r="A21" s="6" t="s">
        <v>97</v>
      </c>
      <c r="B21" s="1" t="s">
        <v>25</v>
      </c>
      <c r="C21" s="1" t="s">
        <v>6</v>
      </c>
      <c r="D21" s="27" t="s">
        <v>7</v>
      </c>
      <c r="E21" s="27" t="s">
        <v>7</v>
      </c>
      <c r="F21" s="27" t="s">
        <v>7</v>
      </c>
      <c r="G21" s="27" t="s">
        <v>7</v>
      </c>
      <c r="H21" s="27" t="s">
        <v>7</v>
      </c>
      <c r="I21" s="27" t="s">
        <v>7</v>
      </c>
      <c r="J21" s="49" t="s">
        <v>7</v>
      </c>
      <c r="K21" s="63" t="s">
        <v>7</v>
      </c>
      <c r="L21" s="3" t="s">
        <v>7</v>
      </c>
      <c r="M21" s="28" t="s">
        <v>7</v>
      </c>
    </row>
    <row r="22" spans="1:15" ht="82.5" customHeight="1" x14ac:dyDescent="0.3">
      <c r="A22" s="44" t="s">
        <v>143</v>
      </c>
      <c r="B22" s="14" t="s">
        <v>12</v>
      </c>
      <c r="C22" s="14" t="s">
        <v>6</v>
      </c>
      <c r="D22" s="27" t="s">
        <v>7</v>
      </c>
      <c r="E22" s="27" t="s">
        <v>7</v>
      </c>
      <c r="F22" s="27" t="s">
        <v>7</v>
      </c>
      <c r="G22" s="27" t="s">
        <v>7</v>
      </c>
      <c r="H22" s="27" t="s">
        <v>7</v>
      </c>
      <c r="I22" s="27" t="s">
        <v>7</v>
      </c>
      <c r="J22" s="49" t="s">
        <v>7</v>
      </c>
      <c r="K22" s="63" t="s">
        <v>7</v>
      </c>
      <c r="L22" s="3" t="s">
        <v>7</v>
      </c>
      <c r="M22" s="28" t="s">
        <v>7</v>
      </c>
    </row>
    <row r="23" spans="1:15" ht="42" customHeight="1" x14ac:dyDescent="0.3">
      <c r="A23" s="79" t="s">
        <v>141</v>
      </c>
      <c r="B23" s="88" t="s">
        <v>5</v>
      </c>
      <c r="C23" s="41" t="s">
        <v>17</v>
      </c>
      <c r="D23" s="32">
        <f>D24+D25</f>
        <v>343679681.27999997</v>
      </c>
      <c r="E23" s="32">
        <f>E24+E25</f>
        <v>25356368.810000002</v>
      </c>
      <c r="F23" s="32">
        <f t="shared" ref="F23" si="4">F24+F25</f>
        <v>29378541.989999998</v>
      </c>
      <c r="G23" s="32">
        <f>G24+G25</f>
        <v>30361534.209999997</v>
      </c>
      <c r="H23" s="32">
        <f t="shared" ref="H23:M23" si="5">H24+H25</f>
        <v>32051334.479999997</v>
      </c>
      <c r="I23" s="32">
        <f t="shared" si="5"/>
        <v>56728555.579999998</v>
      </c>
      <c r="J23" s="50">
        <f t="shared" si="5"/>
        <v>50280431.420000002</v>
      </c>
      <c r="K23" s="64">
        <f t="shared" si="5"/>
        <v>53999741.75</v>
      </c>
      <c r="L23" s="32">
        <f t="shared" si="5"/>
        <v>32761586.52</v>
      </c>
      <c r="M23" s="36">
        <f t="shared" si="5"/>
        <v>32761586.52</v>
      </c>
    </row>
    <row r="24" spans="1:15" s="15" customFormat="1" ht="42" customHeight="1" x14ac:dyDescent="0.3">
      <c r="A24" s="80"/>
      <c r="B24" s="89"/>
      <c r="C24" s="41" t="s">
        <v>6</v>
      </c>
      <c r="D24" s="32">
        <f>D27+D50+D55+D73</f>
        <v>329427575.38999999</v>
      </c>
      <c r="E24" s="32">
        <f t="shared" ref="E24:H24" si="6">E27+E50+E55+E73</f>
        <v>21784262.920000002</v>
      </c>
      <c r="F24" s="32">
        <f t="shared" si="6"/>
        <v>29378541.989999998</v>
      </c>
      <c r="G24" s="32">
        <f t="shared" si="6"/>
        <v>30361534.209999997</v>
      </c>
      <c r="H24" s="32">
        <f t="shared" si="6"/>
        <v>32051334.479999997</v>
      </c>
      <c r="I24" s="32">
        <f>I27+I50+I55+I73</f>
        <v>46048555.579999998</v>
      </c>
      <c r="J24" s="50">
        <f t="shared" ref="J24:M24" si="7">J27+J50+J55+J73</f>
        <v>50280431.420000002</v>
      </c>
      <c r="K24" s="64">
        <f t="shared" si="7"/>
        <v>53999741.75</v>
      </c>
      <c r="L24" s="32">
        <f t="shared" si="7"/>
        <v>32761586.52</v>
      </c>
      <c r="M24" s="36">
        <f t="shared" si="7"/>
        <v>32761586.52</v>
      </c>
    </row>
    <row r="25" spans="1:15" s="15" customFormat="1" ht="46.95" customHeight="1" x14ac:dyDescent="0.3">
      <c r="A25" s="81"/>
      <c r="B25" s="119"/>
      <c r="C25" s="41" t="s">
        <v>27</v>
      </c>
      <c r="D25" s="32">
        <f>D56+D47</f>
        <v>14252105.890000001</v>
      </c>
      <c r="E25" s="32">
        <f t="shared" ref="E25:M25" si="8">E56+E47</f>
        <v>3572105.89</v>
      </c>
      <c r="F25" s="32">
        <f t="shared" si="8"/>
        <v>0</v>
      </c>
      <c r="G25" s="32">
        <f t="shared" si="8"/>
        <v>0</v>
      </c>
      <c r="H25" s="32">
        <f t="shared" si="8"/>
        <v>0</v>
      </c>
      <c r="I25" s="32">
        <f t="shared" si="8"/>
        <v>10680000</v>
      </c>
      <c r="J25" s="50">
        <f t="shared" si="8"/>
        <v>0</v>
      </c>
      <c r="K25" s="64">
        <f t="shared" si="8"/>
        <v>0</v>
      </c>
      <c r="L25" s="32">
        <f t="shared" si="8"/>
        <v>0</v>
      </c>
      <c r="M25" s="36">
        <f t="shared" si="8"/>
        <v>0</v>
      </c>
    </row>
    <row r="26" spans="1:15" s="53" customFormat="1" ht="50.4" customHeight="1" x14ac:dyDescent="0.3">
      <c r="A26" s="79" t="s">
        <v>98</v>
      </c>
      <c r="B26" s="94" t="s">
        <v>5</v>
      </c>
      <c r="C26" s="14" t="s">
        <v>51</v>
      </c>
      <c r="D26" s="33">
        <f>D27+D28</f>
        <v>28402981.810000002</v>
      </c>
      <c r="E26" s="33">
        <f t="shared" ref="E26:M26" si="9">E27+E28</f>
        <v>702424.43</v>
      </c>
      <c r="F26" s="33">
        <f t="shared" si="9"/>
        <v>4166754.96</v>
      </c>
      <c r="G26" s="33">
        <f t="shared" si="9"/>
        <v>1862826.48</v>
      </c>
      <c r="H26" s="33">
        <f t="shared" si="9"/>
        <v>940010.91</v>
      </c>
      <c r="I26" s="33">
        <f t="shared" si="9"/>
        <v>13229222.43</v>
      </c>
      <c r="J26" s="51">
        <f t="shared" si="9"/>
        <v>6070830.0899999999</v>
      </c>
      <c r="K26" s="65">
        <f t="shared" si="9"/>
        <v>1430912.5099999998</v>
      </c>
      <c r="L26" s="33">
        <f t="shared" si="9"/>
        <v>0</v>
      </c>
      <c r="M26" s="56">
        <f t="shared" si="9"/>
        <v>0</v>
      </c>
    </row>
    <row r="27" spans="1:15" ht="34.950000000000003" customHeight="1" x14ac:dyDescent="0.3">
      <c r="A27" s="80"/>
      <c r="B27" s="95"/>
      <c r="C27" s="1" t="s">
        <v>6</v>
      </c>
      <c r="D27" s="3">
        <f>D29+D30+D31+D32+D33+D37+D38+D39+D40+D41+D42+D43+D44+D46+D48+D49</f>
        <v>17722981.810000002</v>
      </c>
      <c r="E27" s="3">
        <f t="shared" ref="E27:I27" si="10">E29+E30+E31+E32+E33+E37+E38+E39+E40+E41+E42+E43+E44+E46+E48</f>
        <v>702424.43</v>
      </c>
      <c r="F27" s="3">
        <f t="shared" si="10"/>
        <v>4166754.96</v>
      </c>
      <c r="G27" s="3">
        <f t="shared" si="10"/>
        <v>1862826.48</v>
      </c>
      <c r="H27" s="3">
        <f t="shared" si="10"/>
        <v>940010.91</v>
      </c>
      <c r="I27" s="3">
        <f t="shared" si="10"/>
        <v>2549222.4299999997</v>
      </c>
      <c r="J27" s="48">
        <f>J29+J30+J31+J32+J33+J37+J38+J39+J40+J41+J42+J43+J44+J46+J48+J49</f>
        <v>6070830.0899999999</v>
      </c>
      <c r="K27" s="66">
        <f t="shared" ref="K27:M27" si="11">K29+K30+K31+K32+K33+K37+K38+K39+K40+K41+K42+K43+K44+K46+K48+K49</f>
        <v>1430912.5099999998</v>
      </c>
      <c r="L27" s="48">
        <f t="shared" si="11"/>
        <v>0</v>
      </c>
      <c r="M27" s="48">
        <f t="shared" si="11"/>
        <v>0</v>
      </c>
    </row>
    <row r="28" spans="1:15" ht="34.200000000000003" customHeight="1" x14ac:dyDescent="0.3">
      <c r="A28" s="81"/>
      <c r="B28" s="96"/>
      <c r="C28" s="1" t="s">
        <v>27</v>
      </c>
      <c r="D28" s="3">
        <f>E28+F28+G28+H28+I28+J28+K28+L28</f>
        <v>10680000</v>
      </c>
      <c r="E28" s="3">
        <v>0</v>
      </c>
      <c r="F28" s="3">
        <v>0</v>
      </c>
      <c r="G28" s="3">
        <v>0</v>
      </c>
      <c r="H28" s="3">
        <v>0</v>
      </c>
      <c r="I28" s="3">
        <v>10680000</v>
      </c>
      <c r="J28" s="48">
        <v>0</v>
      </c>
      <c r="K28" s="63">
        <v>0</v>
      </c>
      <c r="L28" s="3">
        <v>0</v>
      </c>
      <c r="M28" s="43">
        <v>0</v>
      </c>
    </row>
    <row r="29" spans="1:15" ht="132" customHeight="1" x14ac:dyDescent="0.3">
      <c r="A29" s="6" t="s">
        <v>99</v>
      </c>
      <c r="B29" s="1" t="s">
        <v>5</v>
      </c>
      <c r="C29" s="1" t="s">
        <v>6</v>
      </c>
      <c r="D29" s="3">
        <f>SUM(E29:M29)</f>
        <v>2885186.3</v>
      </c>
      <c r="E29" s="3">
        <v>324848.98</v>
      </c>
      <c r="F29" s="3">
        <f>214900+60000+47586.88</f>
        <v>322486.88</v>
      </c>
      <c r="G29" s="3">
        <f>231116.38+7120.72-2790-75276.13</f>
        <v>160170.97</v>
      </c>
      <c r="H29" s="3">
        <f>155834.14+6000+24000</f>
        <v>185834.14</v>
      </c>
      <c r="I29" s="3">
        <v>461011.32</v>
      </c>
      <c r="J29" s="48">
        <v>1160834.01</v>
      </c>
      <c r="K29" s="63">
        <v>270000</v>
      </c>
      <c r="L29" s="3">
        <v>0</v>
      </c>
      <c r="M29" s="43">
        <v>0</v>
      </c>
    </row>
    <row r="30" spans="1:15" ht="85.5" customHeight="1" x14ac:dyDescent="0.3">
      <c r="A30" s="6" t="s">
        <v>100</v>
      </c>
      <c r="B30" s="1" t="s">
        <v>5</v>
      </c>
      <c r="C30" s="1" t="s">
        <v>6</v>
      </c>
      <c r="D30" s="3">
        <f>E30+F30+G30+H30+I30+J30+K30+L30+M30</f>
        <v>2199116.4400000004</v>
      </c>
      <c r="E30" s="3">
        <v>254321.85</v>
      </c>
      <c r="F30" s="3">
        <f>207280-86220.48-25379.81</f>
        <v>95679.71</v>
      </c>
      <c r="G30" s="3">
        <f>233014+250000-130245.36+43265.36</f>
        <v>396034</v>
      </c>
      <c r="H30" s="3">
        <f>156629.7-15800.89+24480.96</f>
        <v>165309.76999999999</v>
      </c>
      <c r="I30" s="3">
        <v>256360.03</v>
      </c>
      <c r="J30" s="48">
        <v>464411.08</v>
      </c>
      <c r="K30" s="63">
        <v>567000</v>
      </c>
      <c r="L30" s="3">
        <v>0</v>
      </c>
      <c r="M30" s="43">
        <v>0</v>
      </c>
    </row>
    <row r="31" spans="1:15" ht="112.95" customHeight="1" x14ac:dyDescent="0.3">
      <c r="A31" s="6" t="s">
        <v>101</v>
      </c>
      <c r="B31" s="1" t="s">
        <v>5</v>
      </c>
      <c r="C31" s="1" t="s">
        <v>6</v>
      </c>
      <c r="D31" s="3">
        <f>SUM(E31:M31)</f>
        <v>1065388.3599999999</v>
      </c>
      <c r="E31" s="3">
        <v>0</v>
      </c>
      <c r="F31" s="3">
        <f>20000-19600</f>
        <v>400</v>
      </c>
      <c r="G31" s="3">
        <f>20000-20000</f>
        <v>0</v>
      </c>
      <c r="H31" s="3">
        <v>400</v>
      </c>
      <c r="I31" s="3">
        <v>0</v>
      </c>
      <c r="J31" s="48">
        <v>720955</v>
      </c>
      <c r="K31" s="63">
        <f>456800-113166.64</f>
        <v>343633.36</v>
      </c>
      <c r="L31" s="3">
        <v>0</v>
      </c>
      <c r="M31" s="43">
        <v>0</v>
      </c>
    </row>
    <row r="32" spans="1:15" ht="76.95" customHeight="1" x14ac:dyDescent="0.3">
      <c r="A32" s="6" t="s">
        <v>102</v>
      </c>
      <c r="B32" s="1" t="s">
        <v>5</v>
      </c>
      <c r="C32" s="1" t="s">
        <v>6</v>
      </c>
      <c r="D32" s="3">
        <f>SUM(E32:M32)</f>
        <v>249430.8</v>
      </c>
      <c r="E32" s="3">
        <f>4000*26-28440-6129.2</f>
        <v>69430.8</v>
      </c>
      <c r="F32" s="3">
        <f>156000-116000</f>
        <v>40000</v>
      </c>
      <c r="G32" s="3">
        <f>95640.64-55640.64</f>
        <v>40000</v>
      </c>
      <c r="H32" s="3">
        <f>36000-10000</f>
        <v>26000</v>
      </c>
      <c r="I32" s="3">
        <v>20000</v>
      </c>
      <c r="J32" s="48">
        <v>30000</v>
      </c>
      <c r="K32" s="63">
        <v>24000</v>
      </c>
      <c r="L32" s="3">
        <v>0</v>
      </c>
      <c r="M32" s="43">
        <v>0</v>
      </c>
    </row>
    <row r="33" spans="1:13" ht="79.5" customHeight="1" x14ac:dyDescent="0.3">
      <c r="A33" s="6" t="s">
        <v>103</v>
      </c>
      <c r="B33" s="1" t="s">
        <v>5</v>
      </c>
      <c r="C33" s="1" t="s">
        <v>6</v>
      </c>
      <c r="D33" s="3">
        <f>SUM(E33:M33)</f>
        <v>17800</v>
      </c>
      <c r="E33" s="3">
        <f>380462-380462</f>
        <v>0</v>
      </c>
      <c r="F33" s="3">
        <f>380462-380462</f>
        <v>0</v>
      </c>
      <c r="G33" s="3">
        <v>0</v>
      </c>
      <c r="H33" s="3">
        <v>0</v>
      </c>
      <c r="I33" s="3">
        <v>0</v>
      </c>
      <c r="J33" s="48">
        <v>0</v>
      </c>
      <c r="K33" s="63">
        <v>17800</v>
      </c>
      <c r="L33" s="3">
        <v>0</v>
      </c>
      <c r="M33" s="43">
        <v>0</v>
      </c>
    </row>
    <row r="34" spans="1:13" ht="108" customHeight="1" x14ac:dyDescent="0.3">
      <c r="A34" s="6" t="s">
        <v>104</v>
      </c>
      <c r="B34" s="1" t="s">
        <v>5</v>
      </c>
      <c r="C34" s="1" t="s">
        <v>6</v>
      </c>
      <c r="D34" s="27" t="s">
        <v>7</v>
      </c>
      <c r="E34" s="27" t="s">
        <v>7</v>
      </c>
      <c r="F34" s="27" t="s">
        <v>7</v>
      </c>
      <c r="G34" s="27" t="s">
        <v>7</v>
      </c>
      <c r="H34" s="27" t="s">
        <v>7</v>
      </c>
      <c r="I34" s="27" t="s">
        <v>7</v>
      </c>
      <c r="J34" s="49" t="s">
        <v>7</v>
      </c>
      <c r="K34" s="63" t="s">
        <v>7</v>
      </c>
      <c r="L34" s="3" t="s">
        <v>7</v>
      </c>
      <c r="M34" s="28" t="s">
        <v>7</v>
      </c>
    </row>
    <row r="35" spans="1:13" ht="158.25" customHeight="1" x14ac:dyDescent="0.3">
      <c r="A35" s="6" t="s">
        <v>105</v>
      </c>
      <c r="B35" s="1" t="s">
        <v>5</v>
      </c>
      <c r="C35" s="1" t="s">
        <v>6</v>
      </c>
      <c r="D35" s="27" t="s">
        <v>7</v>
      </c>
      <c r="E35" s="27" t="s">
        <v>7</v>
      </c>
      <c r="F35" s="27" t="s">
        <v>7</v>
      </c>
      <c r="G35" s="27" t="s">
        <v>7</v>
      </c>
      <c r="H35" s="27" t="s">
        <v>7</v>
      </c>
      <c r="I35" s="27" t="s">
        <v>7</v>
      </c>
      <c r="J35" s="49" t="s">
        <v>7</v>
      </c>
      <c r="K35" s="63" t="s">
        <v>7</v>
      </c>
      <c r="L35" s="3" t="s">
        <v>7</v>
      </c>
      <c r="M35" s="28" t="s">
        <v>7</v>
      </c>
    </row>
    <row r="36" spans="1:13" ht="100.5" customHeight="1" x14ac:dyDescent="0.3">
      <c r="A36" s="2" t="s">
        <v>106</v>
      </c>
      <c r="B36" s="2" t="s">
        <v>5</v>
      </c>
      <c r="C36" s="2" t="s">
        <v>6</v>
      </c>
      <c r="D36" s="27" t="s">
        <v>7</v>
      </c>
      <c r="E36" s="27" t="s">
        <v>7</v>
      </c>
      <c r="F36" s="27" t="s">
        <v>7</v>
      </c>
      <c r="G36" s="27" t="s">
        <v>7</v>
      </c>
      <c r="H36" s="27" t="s">
        <v>7</v>
      </c>
      <c r="I36" s="27" t="s">
        <v>7</v>
      </c>
      <c r="J36" s="49" t="s">
        <v>7</v>
      </c>
      <c r="K36" s="63" t="s">
        <v>7</v>
      </c>
      <c r="L36" s="3" t="s">
        <v>7</v>
      </c>
      <c r="M36" s="28" t="s">
        <v>7</v>
      </c>
    </row>
    <row r="37" spans="1:13" ht="85.5" customHeight="1" x14ac:dyDescent="0.3">
      <c r="A37" s="6" t="s">
        <v>107</v>
      </c>
      <c r="B37" s="1" t="s">
        <v>5</v>
      </c>
      <c r="C37" s="1" t="s">
        <v>6</v>
      </c>
      <c r="D37" s="3">
        <f>SUM(E37:M37)</f>
        <v>0</v>
      </c>
      <c r="E37" s="3">
        <f>2000*2-4000</f>
        <v>0</v>
      </c>
      <c r="F37" s="3">
        <v>0</v>
      </c>
      <c r="G37" s="3">
        <v>0</v>
      </c>
      <c r="H37" s="3">
        <v>0</v>
      </c>
      <c r="I37" s="3">
        <v>0</v>
      </c>
      <c r="J37" s="48">
        <v>0</v>
      </c>
      <c r="K37" s="63">
        <v>0</v>
      </c>
      <c r="L37" s="3">
        <v>0</v>
      </c>
      <c r="M37" s="43">
        <v>0</v>
      </c>
    </row>
    <row r="38" spans="1:13" ht="76.5" customHeight="1" x14ac:dyDescent="0.3">
      <c r="A38" s="6" t="s">
        <v>108</v>
      </c>
      <c r="B38" s="1" t="s">
        <v>5</v>
      </c>
      <c r="C38" s="1" t="s">
        <v>6</v>
      </c>
      <c r="D38" s="3">
        <f t="shared" ref="D38:D49" si="12">SUM(E38:M38)</f>
        <v>1302495.49</v>
      </c>
      <c r="E38" s="3">
        <f>10*5382.28</f>
        <v>53822.799999999996</v>
      </c>
      <c r="F38" s="3">
        <f>99572.18+50000-19952.28</f>
        <v>129619.9</v>
      </c>
      <c r="G38" s="3">
        <f>283430.4+55000+3685.16</f>
        <v>342115.56</v>
      </c>
      <c r="H38" s="3">
        <f>96330.26-60.26</f>
        <v>96270</v>
      </c>
      <c r="I38" s="3">
        <v>261851.08000000002</v>
      </c>
      <c r="J38" s="48">
        <v>210337</v>
      </c>
      <c r="K38" s="63">
        <v>208479.15</v>
      </c>
      <c r="L38" s="3">
        <v>0</v>
      </c>
      <c r="M38" s="43">
        <v>0</v>
      </c>
    </row>
    <row r="39" spans="1:13" ht="80.25" customHeight="1" x14ac:dyDescent="0.3">
      <c r="A39" s="6" t="s">
        <v>109</v>
      </c>
      <c r="B39" s="1" t="s">
        <v>5</v>
      </c>
      <c r="C39" s="1" t="s">
        <v>6</v>
      </c>
      <c r="D39" s="3">
        <f t="shared" si="12"/>
        <v>2861600</v>
      </c>
      <c r="E39" s="3">
        <v>0</v>
      </c>
      <c r="F39" s="3">
        <f>6823340-2823340-1138400</f>
        <v>2861600</v>
      </c>
      <c r="G39" s="3">
        <v>0</v>
      </c>
      <c r="H39" s="3">
        <v>0</v>
      </c>
      <c r="I39" s="3">
        <v>0</v>
      </c>
      <c r="J39" s="48">
        <v>0</v>
      </c>
      <c r="K39" s="63">
        <v>0</v>
      </c>
      <c r="L39" s="3">
        <v>0</v>
      </c>
      <c r="M39" s="43">
        <v>0</v>
      </c>
    </row>
    <row r="40" spans="1:13" ht="75" customHeight="1" x14ac:dyDescent="0.3">
      <c r="A40" s="6" t="s">
        <v>37</v>
      </c>
      <c r="B40" s="1" t="s">
        <v>5</v>
      </c>
      <c r="C40" s="1" t="s">
        <v>6</v>
      </c>
      <c r="D40" s="3">
        <f t="shared" si="12"/>
        <v>991268.47</v>
      </c>
      <c r="E40" s="3">
        <v>0</v>
      </c>
      <c r="F40" s="3">
        <f>800000-83031.53</f>
        <v>716968.47</v>
      </c>
      <c r="G40" s="3">
        <f>0+274300</f>
        <v>274300</v>
      </c>
      <c r="H40" s="3">
        <v>0</v>
      </c>
      <c r="I40" s="3">
        <v>0</v>
      </c>
      <c r="J40" s="48">
        <v>0</v>
      </c>
      <c r="K40" s="63">
        <v>0</v>
      </c>
      <c r="L40" s="3">
        <v>0</v>
      </c>
      <c r="M40" s="43">
        <v>0</v>
      </c>
    </row>
    <row r="41" spans="1:13" ht="78" customHeight="1" x14ac:dyDescent="0.3">
      <c r="A41" s="6" t="s">
        <v>38</v>
      </c>
      <c r="B41" s="1" t="s">
        <v>5</v>
      </c>
      <c r="C41" s="1" t="s">
        <v>6</v>
      </c>
      <c r="D41" s="3">
        <f t="shared" si="12"/>
        <v>552092.94999999995</v>
      </c>
      <c r="E41" s="3">
        <v>0</v>
      </c>
      <c r="F41" s="3">
        <v>0</v>
      </c>
      <c r="G41" s="3">
        <f>500000-32584.05</f>
        <v>467415.95</v>
      </c>
      <c r="H41" s="3">
        <f>84865-188</f>
        <v>84677</v>
      </c>
      <c r="I41" s="3">
        <v>0</v>
      </c>
      <c r="J41" s="48">
        <v>0</v>
      </c>
      <c r="K41" s="63">
        <v>0</v>
      </c>
      <c r="L41" s="3">
        <v>0</v>
      </c>
      <c r="M41" s="43">
        <v>0</v>
      </c>
    </row>
    <row r="42" spans="1:13" ht="81.75" customHeight="1" x14ac:dyDescent="0.3">
      <c r="A42" s="6" t="s">
        <v>110</v>
      </c>
      <c r="B42" s="1" t="s">
        <v>29</v>
      </c>
      <c r="C42" s="1" t="s">
        <v>6</v>
      </c>
      <c r="D42" s="3">
        <f t="shared" si="12"/>
        <v>715000</v>
      </c>
      <c r="E42" s="3">
        <v>0</v>
      </c>
      <c r="F42" s="3">
        <v>0</v>
      </c>
      <c r="G42" s="3">
        <v>180000</v>
      </c>
      <c r="H42" s="3">
        <v>180000</v>
      </c>
      <c r="I42" s="3">
        <v>230000</v>
      </c>
      <c r="J42" s="48">
        <v>125000</v>
      </c>
      <c r="K42" s="63">
        <v>0</v>
      </c>
      <c r="L42" s="3">
        <v>0</v>
      </c>
      <c r="M42" s="43">
        <v>0</v>
      </c>
    </row>
    <row r="43" spans="1:13" ht="85.5" customHeight="1" x14ac:dyDescent="0.3">
      <c r="A43" s="6" t="s">
        <v>111</v>
      </c>
      <c r="B43" s="1" t="s">
        <v>5</v>
      </c>
      <c r="C43" s="1" t="s">
        <v>6</v>
      </c>
      <c r="D43" s="3">
        <f t="shared" si="12"/>
        <v>9340</v>
      </c>
      <c r="E43" s="3">
        <v>0</v>
      </c>
      <c r="F43" s="3">
        <v>0</v>
      </c>
      <c r="G43" s="3">
        <v>2790</v>
      </c>
      <c r="H43" s="3">
        <f>6550</f>
        <v>6550</v>
      </c>
      <c r="I43" s="3">
        <v>0</v>
      </c>
      <c r="J43" s="48">
        <v>0</v>
      </c>
      <c r="K43" s="63">
        <v>0</v>
      </c>
      <c r="L43" s="3">
        <v>0</v>
      </c>
      <c r="M43" s="43">
        <v>0</v>
      </c>
    </row>
    <row r="44" spans="1:13" ht="100.5" customHeight="1" x14ac:dyDescent="0.3">
      <c r="A44" s="6" t="s">
        <v>112</v>
      </c>
      <c r="B44" s="1" t="s">
        <v>5</v>
      </c>
      <c r="C44" s="1" t="s">
        <v>6</v>
      </c>
      <c r="D44" s="3">
        <f t="shared" si="12"/>
        <v>194970</v>
      </c>
      <c r="E44" s="3">
        <v>0</v>
      </c>
      <c r="F44" s="3">
        <v>0</v>
      </c>
      <c r="G44" s="3">
        <v>0</v>
      </c>
      <c r="H44" s="3">
        <f>582000-387030</f>
        <v>194970</v>
      </c>
      <c r="I44" s="3">
        <v>0</v>
      </c>
      <c r="J44" s="48">
        <v>0</v>
      </c>
      <c r="K44" s="63">
        <v>0</v>
      </c>
      <c r="L44" s="3">
        <v>0</v>
      </c>
      <c r="M44" s="43">
        <v>0</v>
      </c>
    </row>
    <row r="45" spans="1:13" ht="46.95" customHeight="1" x14ac:dyDescent="0.3">
      <c r="A45" s="91" t="s">
        <v>113</v>
      </c>
      <c r="B45" s="94" t="s">
        <v>5</v>
      </c>
      <c r="C45" s="1" t="s">
        <v>17</v>
      </c>
      <c r="D45" s="3">
        <f t="shared" si="12"/>
        <v>12000000</v>
      </c>
      <c r="E45" s="3">
        <f t="shared" ref="E45:M45" si="13">E46+E47</f>
        <v>0</v>
      </c>
      <c r="F45" s="3">
        <f t="shared" si="13"/>
        <v>0</v>
      </c>
      <c r="G45" s="3">
        <f t="shared" si="13"/>
        <v>0</v>
      </c>
      <c r="H45" s="3">
        <f t="shared" si="13"/>
        <v>0</v>
      </c>
      <c r="I45" s="3">
        <f t="shared" si="13"/>
        <v>12000000</v>
      </c>
      <c r="J45" s="48">
        <f t="shared" si="13"/>
        <v>0</v>
      </c>
      <c r="K45" s="63">
        <f t="shared" si="13"/>
        <v>0</v>
      </c>
      <c r="L45" s="3">
        <f t="shared" si="13"/>
        <v>0</v>
      </c>
      <c r="M45" s="28">
        <f t="shared" si="13"/>
        <v>0</v>
      </c>
    </row>
    <row r="46" spans="1:13" ht="49.2" customHeight="1" x14ac:dyDescent="0.3">
      <c r="A46" s="92"/>
      <c r="B46" s="95"/>
      <c r="C46" s="1" t="s">
        <v>6</v>
      </c>
      <c r="D46" s="3">
        <f t="shared" si="12"/>
        <v>1320000</v>
      </c>
      <c r="E46" s="3">
        <v>0</v>
      </c>
      <c r="F46" s="3">
        <v>0</v>
      </c>
      <c r="G46" s="3">
        <v>0</v>
      </c>
      <c r="H46" s="3">
        <v>0</v>
      </c>
      <c r="I46" s="3">
        <v>1320000</v>
      </c>
      <c r="J46" s="48">
        <v>0</v>
      </c>
      <c r="K46" s="63">
        <v>0</v>
      </c>
      <c r="L46" s="3">
        <v>0</v>
      </c>
      <c r="M46" s="43">
        <v>0</v>
      </c>
    </row>
    <row r="47" spans="1:13" ht="42.6" customHeight="1" x14ac:dyDescent="0.3">
      <c r="A47" s="93"/>
      <c r="B47" s="96"/>
      <c r="C47" s="1" t="s">
        <v>27</v>
      </c>
      <c r="D47" s="3">
        <f t="shared" si="12"/>
        <v>10680000</v>
      </c>
      <c r="E47" s="3">
        <v>0</v>
      </c>
      <c r="F47" s="3">
        <v>0</v>
      </c>
      <c r="G47" s="3">
        <v>0</v>
      </c>
      <c r="H47" s="3">
        <v>0</v>
      </c>
      <c r="I47" s="3">
        <v>10680000</v>
      </c>
      <c r="J47" s="48">
        <v>0</v>
      </c>
      <c r="K47" s="63">
        <v>0</v>
      </c>
      <c r="L47" s="3">
        <v>0</v>
      </c>
      <c r="M47" s="43">
        <v>0</v>
      </c>
    </row>
    <row r="48" spans="1:13" ht="79.95" customHeight="1" x14ac:dyDescent="0.3">
      <c r="A48" s="57" t="s">
        <v>134</v>
      </c>
      <c r="B48" s="40" t="s">
        <v>5</v>
      </c>
      <c r="C48" s="1" t="s">
        <v>6</v>
      </c>
      <c r="D48" s="3">
        <f t="shared" si="12"/>
        <v>2881600</v>
      </c>
      <c r="E48" s="3">
        <v>0</v>
      </c>
      <c r="F48" s="3">
        <v>0</v>
      </c>
      <c r="G48" s="3">
        <v>0</v>
      </c>
      <c r="H48" s="3">
        <v>0</v>
      </c>
      <c r="I48" s="3">
        <v>0</v>
      </c>
      <c r="J48" s="48">
        <v>2881600</v>
      </c>
      <c r="K48" s="63">
        <v>0</v>
      </c>
      <c r="L48" s="3">
        <v>0</v>
      </c>
      <c r="M48" s="43">
        <v>0</v>
      </c>
    </row>
    <row r="49" spans="1:13" ht="79.95" customHeight="1" x14ac:dyDescent="0.3">
      <c r="A49" s="57" t="s">
        <v>144</v>
      </c>
      <c r="B49" s="40" t="s">
        <v>5</v>
      </c>
      <c r="C49" s="1" t="s">
        <v>6</v>
      </c>
      <c r="D49" s="3">
        <f t="shared" si="12"/>
        <v>477693</v>
      </c>
      <c r="E49" s="3">
        <v>0</v>
      </c>
      <c r="F49" s="3">
        <v>0</v>
      </c>
      <c r="G49" s="3">
        <v>0</v>
      </c>
      <c r="H49" s="3">
        <v>0</v>
      </c>
      <c r="I49" s="3">
        <v>0</v>
      </c>
      <c r="J49" s="48">
        <v>477693</v>
      </c>
      <c r="K49" s="63">
        <v>0</v>
      </c>
      <c r="L49" s="3">
        <v>0</v>
      </c>
      <c r="M49" s="43">
        <v>0</v>
      </c>
    </row>
    <row r="50" spans="1:13" s="53" customFormat="1" ht="78" customHeight="1" x14ac:dyDescent="0.3">
      <c r="A50" s="44" t="s">
        <v>114</v>
      </c>
      <c r="B50" s="14" t="s">
        <v>5</v>
      </c>
      <c r="C50" s="14" t="s">
        <v>17</v>
      </c>
      <c r="D50" s="33">
        <f>D51+D52+D53</f>
        <v>6401946.3600000013</v>
      </c>
      <c r="E50" s="33">
        <f t="shared" ref="E50:M50" si="14">E51+E52+E53</f>
        <v>1059883.27</v>
      </c>
      <c r="F50" s="33">
        <f t="shared" si="14"/>
        <v>526197.83000000031</v>
      </c>
      <c r="G50" s="33">
        <f t="shared" si="14"/>
        <v>438780.2300000001</v>
      </c>
      <c r="H50" s="33">
        <f t="shared" si="14"/>
        <v>1020305.34</v>
      </c>
      <c r="I50" s="33">
        <f t="shared" si="14"/>
        <v>1078556.44</v>
      </c>
      <c r="J50" s="51">
        <f t="shared" si="14"/>
        <v>1108770.3699999999</v>
      </c>
      <c r="K50" s="65">
        <f t="shared" si="14"/>
        <v>1169452.8799999999</v>
      </c>
      <c r="L50" s="33">
        <f t="shared" si="14"/>
        <v>0</v>
      </c>
      <c r="M50" s="56">
        <f t="shared" si="14"/>
        <v>0</v>
      </c>
    </row>
    <row r="51" spans="1:13" ht="187.5" customHeight="1" x14ac:dyDescent="0.3">
      <c r="A51" s="6" t="s">
        <v>115</v>
      </c>
      <c r="B51" s="1" t="s">
        <v>5</v>
      </c>
      <c r="C51" s="1" t="s">
        <v>6</v>
      </c>
      <c r="D51" s="3">
        <f>SUM(E51:M51)</f>
        <v>5514231.6500000013</v>
      </c>
      <c r="E51" s="3">
        <f>996262.92+1269.19</f>
        <v>997532.11</v>
      </c>
      <c r="F51" s="3">
        <f>6504790-662550-442954.88-2794017-326435.51-916786.74-900000-343.48</f>
        <v>461702.39000000036</v>
      </c>
      <c r="G51" s="3">
        <f>1698511.84-1196110.71-104573.64</f>
        <v>397827.49000000011</v>
      </c>
      <c r="H51" s="3">
        <f>677713.89+996802.3-628000-356313.22+84705.88</f>
        <v>774908.85</v>
      </c>
      <c r="I51" s="3">
        <v>938474.74</v>
      </c>
      <c r="J51" s="48">
        <f>1484787-147300-375000-28153.81</f>
        <v>934333.19</v>
      </c>
      <c r="K51" s="63">
        <f>1097140-16999.8-12000-17800-40887.32</f>
        <v>1009452.88</v>
      </c>
      <c r="L51" s="3">
        <v>0</v>
      </c>
      <c r="M51" s="43">
        <v>0</v>
      </c>
    </row>
    <row r="52" spans="1:13" ht="84.75" customHeight="1" x14ac:dyDescent="0.3">
      <c r="A52" s="6" t="s">
        <v>116</v>
      </c>
      <c r="B52" s="1" t="s">
        <v>5</v>
      </c>
      <c r="C52" s="1" t="s">
        <v>6</v>
      </c>
      <c r="D52" s="3">
        <f>SUM(E52:M52)</f>
        <v>805294.69</v>
      </c>
      <c r="E52" s="3">
        <f>144500+8696.63-92528.6+1683.13</f>
        <v>62351.159999999996</v>
      </c>
      <c r="F52" s="3">
        <f>144500-36999.07-43005.49</f>
        <v>64495.439999999995</v>
      </c>
      <c r="G52" s="3">
        <f>143002.5-49808.56-52241.2</f>
        <v>40952.740000000005</v>
      </c>
      <c r="H52" s="3">
        <f>146886.4+40000+23832.31-47742.24</f>
        <v>162976.47</v>
      </c>
      <c r="I52" s="3">
        <v>140081.70000000001</v>
      </c>
      <c r="J52" s="48">
        <f>193060-18622.82</f>
        <v>174437.18</v>
      </c>
      <c r="K52" s="63">
        <v>160000</v>
      </c>
      <c r="L52" s="3">
        <v>0</v>
      </c>
      <c r="M52" s="43">
        <v>0</v>
      </c>
    </row>
    <row r="53" spans="1:13" ht="84.75" customHeight="1" thickBot="1" x14ac:dyDescent="0.35">
      <c r="A53" s="5" t="s">
        <v>117</v>
      </c>
      <c r="B53" s="5" t="s">
        <v>5</v>
      </c>
      <c r="C53" s="5" t="s">
        <v>6</v>
      </c>
      <c r="D53" s="3">
        <f>SUM(E53:M53)</f>
        <v>82420.01999999999</v>
      </c>
      <c r="E53" s="3">
        <v>0</v>
      </c>
      <c r="F53" s="3">
        <v>0</v>
      </c>
      <c r="G53" s="3">
        <v>0</v>
      </c>
      <c r="H53" s="3">
        <f>283804.36-201384.34</f>
        <v>82420.01999999999</v>
      </c>
      <c r="I53" s="3">
        <v>0</v>
      </c>
      <c r="J53" s="48">
        <v>0</v>
      </c>
      <c r="K53" s="63">
        <v>0</v>
      </c>
      <c r="L53" s="3">
        <v>0</v>
      </c>
      <c r="M53" s="43">
        <v>0</v>
      </c>
    </row>
    <row r="54" spans="1:13" s="53" customFormat="1" ht="37.950000000000003" customHeight="1" x14ac:dyDescent="0.3">
      <c r="A54" s="80" t="s">
        <v>118</v>
      </c>
      <c r="B54" s="95" t="s">
        <v>5</v>
      </c>
      <c r="C54" s="41" t="s">
        <v>17</v>
      </c>
      <c r="D54" s="33">
        <f>D55+D56</f>
        <v>70906796.659999982</v>
      </c>
      <c r="E54" s="33">
        <f>E55+E56</f>
        <v>8929994.9000000004</v>
      </c>
      <c r="F54" s="33">
        <f>F55+F56</f>
        <v>5795806.9100000001</v>
      </c>
      <c r="G54" s="33">
        <f t="shared" ref="G54:M54" si="15">G55+G56</f>
        <v>4477014.1199999992</v>
      </c>
      <c r="H54" s="33">
        <f t="shared" si="15"/>
        <v>6186067.6600000001</v>
      </c>
      <c r="I54" s="33">
        <f t="shared" si="15"/>
        <v>14410955.48</v>
      </c>
      <c r="J54" s="51">
        <f t="shared" si="15"/>
        <v>10590669.6</v>
      </c>
      <c r="K54" s="65">
        <f t="shared" si="15"/>
        <v>19249158.710000001</v>
      </c>
      <c r="L54" s="33">
        <f t="shared" si="15"/>
        <v>654262.64</v>
      </c>
      <c r="M54" s="56">
        <f t="shared" si="15"/>
        <v>612866.64</v>
      </c>
    </row>
    <row r="55" spans="1:13" ht="37.950000000000003" customHeight="1" x14ac:dyDescent="0.3">
      <c r="A55" s="80"/>
      <c r="B55" s="95"/>
      <c r="C55" s="40" t="s">
        <v>6</v>
      </c>
      <c r="D55" s="3">
        <f>D57+D60+D61+D62+D64+D66+D67+D68+D69+D70+D71+D72</f>
        <v>67334690.769999981</v>
      </c>
      <c r="E55" s="3">
        <f t="shared" ref="E55:H55" si="16">E57+E60+E61+E62+E64+E66+E67+E68+E69+E70+E71</f>
        <v>5357889.01</v>
      </c>
      <c r="F55" s="3">
        <f t="shared" si="16"/>
        <v>5795806.9100000001</v>
      </c>
      <c r="G55" s="3">
        <f t="shared" si="16"/>
        <v>4477014.1199999992</v>
      </c>
      <c r="H55" s="3">
        <f t="shared" si="16"/>
        <v>6186067.6600000001</v>
      </c>
      <c r="I55" s="3">
        <f>I58+I60+I61+I69+I71</f>
        <v>14410955.48</v>
      </c>
      <c r="J55" s="48">
        <f t="shared" ref="J55:M55" si="17">J57+J60+J61+J62+J64+J66+J67+J68+J69+J70+J71</f>
        <v>10590669.6</v>
      </c>
      <c r="K55" s="63">
        <f>K57+K60+K61+K62+K64+K66+K67+K68+K69+K70+K71+K72</f>
        <v>19249158.710000001</v>
      </c>
      <c r="L55" s="3">
        <f t="shared" si="17"/>
        <v>654262.64</v>
      </c>
      <c r="M55" s="28">
        <f t="shared" si="17"/>
        <v>612866.64</v>
      </c>
    </row>
    <row r="56" spans="1:13" ht="37.950000000000003" customHeight="1" x14ac:dyDescent="0.3">
      <c r="A56" s="81"/>
      <c r="B56" s="96"/>
      <c r="C56" s="40" t="s">
        <v>27</v>
      </c>
      <c r="D56" s="3">
        <f>D65</f>
        <v>3572105.89</v>
      </c>
      <c r="E56" s="3">
        <f t="shared" ref="E56:M56" si="18">E65</f>
        <v>3572105.89</v>
      </c>
      <c r="F56" s="3">
        <f t="shared" si="18"/>
        <v>0</v>
      </c>
      <c r="G56" s="3">
        <f t="shared" si="18"/>
        <v>0</v>
      </c>
      <c r="H56" s="3">
        <f t="shared" si="18"/>
        <v>0</v>
      </c>
      <c r="I56" s="3">
        <f t="shared" si="18"/>
        <v>0</v>
      </c>
      <c r="J56" s="48">
        <f t="shared" si="18"/>
        <v>0</v>
      </c>
      <c r="K56" s="63">
        <f t="shared" si="18"/>
        <v>0</v>
      </c>
      <c r="L56" s="3">
        <f t="shared" si="18"/>
        <v>0</v>
      </c>
      <c r="M56" s="28">
        <f t="shared" si="18"/>
        <v>0</v>
      </c>
    </row>
    <row r="57" spans="1:13" ht="30" customHeight="1" x14ac:dyDescent="0.3">
      <c r="A57" s="91" t="s">
        <v>119</v>
      </c>
      <c r="B57" s="94" t="s">
        <v>5</v>
      </c>
      <c r="C57" s="1" t="s">
        <v>17</v>
      </c>
      <c r="D57" s="3">
        <f t="shared" ref="D57:D71" si="19">SUM(E57:M57)</f>
        <v>32893070.049999997</v>
      </c>
      <c r="E57" s="3">
        <f>E58+E59</f>
        <v>2063208.5899999999</v>
      </c>
      <c r="F57" s="3">
        <f>F58+F59</f>
        <v>3330133.05</v>
      </c>
      <c r="G57" s="3">
        <f t="shared" ref="G57:M57" si="20">G58+G59</f>
        <v>1791035.1199999999</v>
      </c>
      <c r="H57" s="3">
        <f t="shared" si="20"/>
        <v>1762531.4400000002</v>
      </c>
      <c r="I57" s="3">
        <f t="shared" si="20"/>
        <v>7660805.2999999998</v>
      </c>
      <c r="J57" s="48">
        <f t="shared" si="20"/>
        <v>5544506.7599999998</v>
      </c>
      <c r="K57" s="63">
        <f t="shared" si="20"/>
        <v>9891290.5099999998</v>
      </c>
      <c r="L57" s="3">
        <f t="shared" si="20"/>
        <v>445477.64</v>
      </c>
      <c r="M57" s="28">
        <f t="shared" si="20"/>
        <v>404081.64</v>
      </c>
    </row>
    <row r="58" spans="1:13" ht="45.75" customHeight="1" x14ac:dyDescent="0.3">
      <c r="A58" s="92"/>
      <c r="B58" s="96"/>
      <c r="C58" s="40" t="s">
        <v>6</v>
      </c>
      <c r="D58" s="3">
        <f t="shared" si="19"/>
        <v>30849631.829999998</v>
      </c>
      <c r="E58" s="3">
        <f>1407602.69+36457.68</f>
        <v>1444060.3699999999</v>
      </c>
      <c r="F58" s="3">
        <f>1189294.77+654400+610600-241628.45-262393.3-44429.97</f>
        <v>1905843.0499999998</v>
      </c>
      <c r="G58" s="3">
        <f>1422804.12+12721.7+29921.07+183905.38+151777.41-10094.56</f>
        <v>1791035.1199999999</v>
      </c>
      <c r="H58" s="3">
        <f>1439905.62+98000+150000+74625.82</f>
        <v>1762531.4400000002</v>
      </c>
      <c r="I58" s="3">
        <v>7660805.2999999998</v>
      </c>
      <c r="J58" s="48">
        <v>5544506.7599999998</v>
      </c>
      <c r="K58" s="63">
        <f>10815564.19-400000-524273.68</f>
        <v>9891290.5099999998</v>
      </c>
      <c r="L58" s="3">
        <v>445477.64</v>
      </c>
      <c r="M58" s="43">
        <v>404081.64</v>
      </c>
    </row>
    <row r="59" spans="1:13" ht="57.75" customHeight="1" x14ac:dyDescent="0.3">
      <c r="A59" s="93"/>
      <c r="B59" s="1" t="s">
        <v>29</v>
      </c>
      <c r="C59" s="40" t="s">
        <v>6</v>
      </c>
      <c r="D59" s="3">
        <f t="shared" si="19"/>
        <v>2043438.22</v>
      </c>
      <c r="E59" s="3">
        <v>619148.22</v>
      </c>
      <c r="F59" s="3">
        <f>1636390-212100</f>
        <v>1424290</v>
      </c>
      <c r="G59" s="3">
        <v>0</v>
      </c>
      <c r="H59" s="3">
        <v>0</v>
      </c>
      <c r="I59" s="3">
        <v>0</v>
      </c>
      <c r="J59" s="48">
        <v>0</v>
      </c>
      <c r="K59" s="63">
        <v>0</v>
      </c>
      <c r="L59" s="3">
        <v>0</v>
      </c>
      <c r="M59" s="43">
        <v>0</v>
      </c>
    </row>
    <row r="60" spans="1:13" ht="84" customHeight="1" x14ac:dyDescent="0.3">
      <c r="A60" s="6" t="s">
        <v>120</v>
      </c>
      <c r="B60" s="1" t="s">
        <v>5</v>
      </c>
      <c r="C60" s="1" t="s">
        <v>6</v>
      </c>
      <c r="D60" s="3">
        <f t="shared" si="19"/>
        <v>2214274.12</v>
      </c>
      <c r="E60" s="3">
        <v>662817.76</v>
      </c>
      <c r="F60" s="3">
        <f>239040-104370</f>
        <v>134670</v>
      </c>
      <c r="G60" s="3">
        <f>365850.6-172489.24</f>
        <v>193361.36</v>
      </c>
      <c r="H60" s="3">
        <f>304061.55-156550-38407.55</f>
        <v>109103.99999999999</v>
      </c>
      <c r="I60" s="3">
        <v>106251</v>
      </c>
      <c r="J60" s="48">
        <v>381715</v>
      </c>
      <c r="K60" s="63">
        <v>208785</v>
      </c>
      <c r="L60" s="3">
        <v>208785</v>
      </c>
      <c r="M60" s="43">
        <v>208785</v>
      </c>
    </row>
    <row r="61" spans="1:13" ht="73.5" customHeight="1" x14ac:dyDescent="0.3">
      <c r="A61" s="6" t="s">
        <v>121</v>
      </c>
      <c r="B61" s="1" t="s">
        <v>5</v>
      </c>
      <c r="C61" s="17" t="s">
        <v>6</v>
      </c>
      <c r="D61" s="3">
        <f t="shared" si="19"/>
        <v>21280533.509999998</v>
      </c>
      <c r="E61" s="3">
        <f>2091009.55-114910</f>
        <v>1976099.55</v>
      </c>
      <c r="F61" s="3">
        <f>2569100+8150-167645.12+233980-527422</f>
        <v>2116162.88</v>
      </c>
      <c r="G61" s="3">
        <f>3460473.36-512721.7-857000-211169.07-827971.54-151777.41</f>
        <v>899833.63999999955</v>
      </c>
      <c r="H61" s="3">
        <f>2076500.49-41.61</f>
        <v>2076458.88</v>
      </c>
      <c r="I61" s="3">
        <v>3797276.88</v>
      </c>
      <c r="J61" s="48">
        <v>3088988.48</v>
      </c>
      <c r="K61" s="63">
        <f>7047730.08+277983.12</f>
        <v>7325713.2000000002</v>
      </c>
      <c r="L61" s="3">
        <v>0</v>
      </c>
      <c r="M61" s="43">
        <v>0</v>
      </c>
    </row>
    <row r="62" spans="1:13" ht="82.5" customHeight="1" x14ac:dyDescent="0.3">
      <c r="A62" s="6" t="s">
        <v>122</v>
      </c>
      <c r="B62" s="1" t="s">
        <v>29</v>
      </c>
      <c r="C62" s="17" t="s">
        <v>6</v>
      </c>
      <c r="D62" s="3">
        <f t="shared" si="19"/>
        <v>122000</v>
      </c>
      <c r="E62" s="3">
        <f>120000+2000</f>
        <v>122000</v>
      </c>
      <c r="F62" s="3">
        <v>0</v>
      </c>
      <c r="G62" s="3">
        <v>0</v>
      </c>
      <c r="H62" s="3">
        <v>0</v>
      </c>
      <c r="I62" s="3">
        <v>0</v>
      </c>
      <c r="J62" s="48">
        <v>0</v>
      </c>
      <c r="K62" s="63">
        <v>0</v>
      </c>
      <c r="L62" s="3">
        <v>0</v>
      </c>
      <c r="M62" s="43">
        <v>0</v>
      </c>
    </row>
    <row r="63" spans="1:13" ht="38.85" customHeight="1" x14ac:dyDescent="0.3">
      <c r="A63" s="91" t="s">
        <v>123</v>
      </c>
      <c r="B63" s="94" t="s">
        <v>29</v>
      </c>
      <c r="C63" s="40" t="s">
        <v>17</v>
      </c>
      <c r="D63" s="3">
        <f t="shared" si="19"/>
        <v>4105869</v>
      </c>
      <c r="E63" s="3">
        <f>E64+E65</f>
        <v>4105869</v>
      </c>
      <c r="F63" s="3">
        <f>F64+F65</f>
        <v>0</v>
      </c>
      <c r="G63" s="3">
        <f t="shared" ref="G63:H63" si="21">G64+G65</f>
        <v>0</v>
      </c>
      <c r="H63" s="3">
        <f t="shared" si="21"/>
        <v>0</v>
      </c>
      <c r="I63" s="3">
        <v>0</v>
      </c>
      <c r="J63" s="48">
        <v>0</v>
      </c>
      <c r="K63" s="63">
        <v>0</v>
      </c>
      <c r="L63" s="3">
        <v>0</v>
      </c>
      <c r="M63" s="43">
        <v>0</v>
      </c>
    </row>
    <row r="64" spans="1:13" ht="38.85" customHeight="1" x14ac:dyDescent="0.3">
      <c r="A64" s="92"/>
      <c r="B64" s="95"/>
      <c r="C64" s="40" t="s">
        <v>6</v>
      </c>
      <c r="D64" s="3">
        <f t="shared" si="19"/>
        <v>533763.1100000001</v>
      </c>
      <c r="E64" s="3">
        <f>643500.17-109737.06</f>
        <v>533763.1100000001</v>
      </c>
      <c r="F64" s="3">
        <v>0</v>
      </c>
      <c r="G64" s="3">
        <v>0</v>
      </c>
      <c r="H64" s="3">
        <v>0</v>
      </c>
      <c r="I64" s="3">
        <v>0</v>
      </c>
      <c r="J64" s="48">
        <v>0</v>
      </c>
      <c r="K64" s="63">
        <v>0</v>
      </c>
      <c r="L64" s="3">
        <v>0</v>
      </c>
      <c r="M64" s="43">
        <v>0</v>
      </c>
    </row>
    <row r="65" spans="1:13" ht="38.85" customHeight="1" x14ac:dyDescent="0.3">
      <c r="A65" s="93"/>
      <c r="B65" s="96"/>
      <c r="C65" s="40" t="s">
        <v>27</v>
      </c>
      <c r="D65" s="3">
        <f t="shared" si="19"/>
        <v>3572105.89</v>
      </c>
      <c r="E65" s="3">
        <f>4306499.83-734393.94</f>
        <v>3572105.89</v>
      </c>
      <c r="F65" s="3">
        <v>0</v>
      </c>
      <c r="G65" s="3">
        <v>0</v>
      </c>
      <c r="H65" s="3">
        <v>0</v>
      </c>
      <c r="I65" s="3">
        <v>0</v>
      </c>
      <c r="J65" s="48">
        <v>0</v>
      </c>
      <c r="K65" s="63">
        <v>0</v>
      </c>
      <c r="L65" s="3">
        <v>0</v>
      </c>
      <c r="M65" s="43">
        <v>0</v>
      </c>
    </row>
    <row r="66" spans="1:13" ht="78" customHeight="1" x14ac:dyDescent="0.3">
      <c r="A66" s="18" t="s">
        <v>124</v>
      </c>
      <c r="B66" s="1" t="s">
        <v>5</v>
      </c>
      <c r="C66" s="17" t="s">
        <v>6</v>
      </c>
      <c r="D66" s="3">
        <f t="shared" si="19"/>
        <v>0</v>
      </c>
      <c r="E66" s="3">
        <v>0</v>
      </c>
      <c r="F66" s="3">
        <v>0</v>
      </c>
      <c r="G66" s="3">
        <v>0</v>
      </c>
      <c r="H66" s="3">
        <v>0</v>
      </c>
      <c r="I66" s="3">
        <v>0</v>
      </c>
      <c r="J66" s="48">
        <v>0</v>
      </c>
      <c r="K66" s="63">
        <v>0</v>
      </c>
      <c r="L66" s="3">
        <v>0</v>
      </c>
      <c r="M66" s="43">
        <v>0</v>
      </c>
    </row>
    <row r="67" spans="1:13" ht="111.6" customHeight="1" x14ac:dyDescent="0.3">
      <c r="A67" s="18" t="s">
        <v>125</v>
      </c>
      <c r="B67" s="1" t="s">
        <v>5</v>
      </c>
      <c r="C67" s="17" t="s">
        <v>6</v>
      </c>
      <c r="D67" s="3">
        <f t="shared" si="19"/>
        <v>214840.98</v>
      </c>
      <c r="E67" s="3">
        <v>0</v>
      </c>
      <c r="F67" s="3">
        <f>255403.79-40562.81</f>
        <v>214840.98</v>
      </c>
      <c r="G67" s="3">
        <v>0</v>
      </c>
      <c r="H67" s="3">
        <v>0</v>
      </c>
      <c r="I67" s="3">
        <v>0</v>
      </c>
      <c r="J67" s="48">
        <v>0</v>
      </c>
      <c r="K67" s="63">
        <v>0</v>
      </c>
      <c r="L67" s="3">
        <v>0</v>
      </c>
      <c r="M67" s="43">
        <v>0</v>
      </c>
    </row>
    <row r="68" spans="1:13" ht="78.75" customHeight="1" x14ac:dyDescent="0.3">
      <c r="A68" s="18" t="s">
        <v>126</v>
      </c>
      <c r="B68" s="1" t="s">
        <v>5</v>
      </c>
      <c r="C68" s="17" t="s">
        <v>6</v>
      </c>
      <c r="D68" s="3">
        <f t="shared" si="19"/>
        <v>2086029.26</v>
      </c>
      <c r="E68" s="3">
        <v>0</v>
      </c>
      <c r="F68" s="3">
        <v>0</v>
      </c>
      <c r="G68" s="3">
        <f>787000+182120+96912</f>
        <v>1066032</v>
      </c>
      <c r="H68" s="3">
        <v>1019997.26</v>
      </c>
      <c r="I68" s="3">
        <v>0</v>
      </c>
      <c r="J68" s="48">
        <v>0</v>
      </c>
      <c r="K68" s="63">
        <v>0</v>
      </c>
      <c r="L68" s="3">
        <v>0</v>
      </c>
      <c r="M68" s="43">
        <v>0</v>
      </c>
    </row>
    <row r="69" spans="1:13" ht="85.95" customHeight="1" x14ac:dyDescent="0.3">
      <c r="A69" s="18" t="s">
        <v>127</v>
      </c>
      <c r="B69" s="1" t="s">
        <v>5</v>
      </c>
      <c r="C69" s="1" t="s">
        <v>6</v>
      </c>
      <c r="D69" s="3">
        <f t="shared" si="19"/>
        <v>5709977.5300000003</v>
      </c>
      <c r="E69" s="3">
        <v>0</v>
      </c>
      <c r="F69" s="3">
        <v>0</v>
      </c>
      <c r="G69" s="3">
        <f>181248+345504</f>
        <v>526752</v>
      </c>
      <c r="H69" s="3">
        <v>1140359.05</v>
      </c>
      <c r="I69" s="3">
        <v>2467407.12</v>
      </c>
      <c r="J69" s="48">
        <v>1575459.36</v>
      </c>
      <c r="K69" s="63">
        <v>0</v>
      </c>
      <c r="L69" s="3">
        <v>0</v>
      </c>
      <c r="M69" s="43">
        <v>0</v>
      </c>
    </row>
    <row r="70" spans="1:13" ht="81" customHeight="1" x14ac:dyDescent="0.3">
      <c r="A70" s="18" t="s">
        <v>128</v>
      </c>
      <c r="B70" s="1" t="s">
        <v>5</v>
      </c>
      <c r="C70" s="1" t="s">
        <v>6</v>
      </c>
      <c r="D70" s="3">
        <f t="shared" si="19"/>
        <v>77617.03</v>
      </c>
      <c r="E70" s="3">
        <v>0</v>
      </c>
      <c r="F70" s="3">
        <v>0</v>
      </c>
      <c r="G70" s="3">
        <v>0</v>
      </c>
      <c r="H70" s="3">
        <f>232712.63-155095.6</f>
        <v>77617.03</v>
      </c>
      <c r="I70" s="3">
        <v>0</v>
      </c>
      <c r="J70" s="48">
        <v>0</v>
      </c>
      <c r="K70" s="63">
        <v>0</v>
      </c>
      <c r="L70" s="3">
        <v>0</v>
      </c>
      <c r="M70" s="43">
        <v>0</v>
      </c>
    </row>
    <row r="71" spans="1:13" ht="81" customHeight="1" x14ac:dyDescent="0.3">
      <c r="A71" s="18" t="s">
        <v>129</v>
      </c>
      <c r="B71" s="1" t="s">
        <v>5</v>
      </c>
      <c r="C71" s="1" t="s">
        <v>6</v>
      </c>
      <c r="D71" s="3">
        <f t="shared" si="19"/>
        <v>379215.17999999993</v>
      </c>
      <c r="E71" s="3">
        <v>0</v>
      </c>
      <c r="F71" s="3">
        <v>0</v>
      </c>
      <c r="G71" s="3">
        <v>0</v>
      </c>
      <c r="H71" s="3">
        <v>0</v>
      </c>
      <c r="I71" s="3">
        <v>379215.17999999993</v>
      </c>
      <c r="J71" s="48">
        <v>0</v>
      </c>
      <c r="K71" s="63">
        <v>0</v>
      </c>
      <c r="L71" s="3">
        <v>0</v>
      </c>
      <c r="M71" s="43">
        <v>0</v>
      </c>
    </row>
    <row r="72" spans="1:13" ht="81" customHeight="1" x14ac:dyDescent="0.3">
      <c r="A72" s="18" t="s">
        <v>150</v>
      </c>
      <c r="B72" s="1" t="s">
        <v>5</v>
      </c>
      <c r="C72" s="1" t="s">
        <v>6</v>
      </c>
      <c r="D72" s="3">
        <f>SUM(E72:M72)</f>
        <v>1823370</v>
      </c>
      <c r="E72" s="3">
        <v>0</v>
      </c>
      <c r="F72" s="3">
        <v>0</v>
      </c>
      <c r="G72" s="3">
        <v>0</v>
      </c>
      <c r="H72" s="3">
        <v>0</v>
      </c>
      <c r="I72" s="3">
        <v>0</v>
      </c>
      <c r="J72" s="3">
        <v>0</v>
      </c>
      <c r="K72" s="63">
        <v>1823370</v>
      </c>
      <c r="L72" s="3">
        <v>0</v>
      </c>
      <c r="M72" s="43">
        <v>0</v>
      </c>
    </row>
    <row r="73" spans="1:13" s="53" customFormat="1" ht="76.5" customHeight="1" x14ac:dyDescent="0.3">
      <c r="A73" s="44" t="s">
        <v>130</v>
      </c>
      <c r="B73" s="14" t="s">
        <v>5</v>
      </c>
      <c r="C73" s="14" t="s">
        <v>6</v>
      </c>
      <c r="D73" s="33">
        <f>D74+D75+D76+D77+D78</f>
        <v>237967956.44999999</v>
      </c>
      <c r="E73" s="33">
        <f t="shared" ref="E73:L73" si="22">E74+E75+E76+E77+E78</f>
        <v>14664066.210000001</v>
      </c>
      <c r="F73" s="33">
        <f t="shared" si="22"/>
        <v>18889782.289999999</v>
      </c>
      <c r="G73" s="33">
        <f t="shared" si="22"/>
        <v>23582913.379999999</v>
      </c>
      <c r="H73" s="33">
        <f t="shared" si="22"/>
        <v>23904950.569999997</v>
      </c>
      <c r="I73" s="33">
        <f t="shared" si="22"/>
        <v>28009821.23</v>
      </c>
      <c r="J73" s="51">
        <f t="shared" si="22"/>
        <v>32510161.359999999</v>
      </c>
      <c r="K73" s="65">
        <f t="shared" si="22"/>
        <v>32150217.649999999</v>
      </c>
      <c r="L73" s="33">
        <f t="shared" si="22"/>
        <v>32107323.879999999</v>
      </c>
      <c r="M73" s="56">
        <f>M74+M75+M76+M77+M78</f>
        <v>32148719.879999999</v>
      </c>
    </row>
    <row r="74" spans="1:13" ht="76.5" customHeight="1" x14ac:dyDescent="0.3">
      <c r="A74" s="6" t="s">
        <v>131</v>
      </c>
      <c r="B74" s="1" t="s">
        <v>5</v>
      </c>
      <c r="C74" s="1" t="s">
        <v>6</v>
      </c>
      <c r="D74" s="3">
        <f>SUM(E74:M74)</f>
        <v>231937010.64999998</v>
      </c>
      <c r="E74" s="46">
        <v>13961599.640000001</v>
      </c>
      <c r="F74" s="46">
        <f>15858711.68+2834159.61-848074.53</f>
        <v>17844796.759999998</v>
      </c>
      <c r="G74" s="46">
        <f>18692871.29+4204727.08</f>
        <v>22897598.369999997</v>
      </c>
      <c r="H74" s="46">
        <f>23195853.08+27599.79+220464</f>
        <v>23443916.869999997</v>
      </c>
      <c r="I74" s="46">
        <f>27146574.09+581.43</f>
        <v>27147155.52</v>
      </c>
      <c r="J74" s="34">
        <v>31648261.879999999</v>
      </c>
      <c r="K74" s="67">
        <f>31648261.88+36895.97+12000</f>
        <v>31697157.849999998</v>
      </c>
      <c r="L74" s="46">
        <v>31648261.879999999</v>
      </c>
      <c r="M74" s="46">
        <v>31648261.879999999</v>
      </c>
    </row>
    <row r="75" spans="1:13" ht="73.5" customHeight="1" x14ac:dyDescent="0.3">
      <c r="A75" s="6" t="s">
        <v>132</v>
      </c>
      <c r="B75" s="1" t="s">
        <v>5</v>
      </c>
      <c r="C75" s="1" t="s">
        <v>6</v>
      </c>
      <c r="D75" s="3">
        <f>SUM(E75:M75)</f>
        <v>3198218</v>
      </c>
      <c r="E75" s="46">
        <f>174486</f>
        <v>174486</v>
      </c>
      <c r="F75" s="46">
        <f>385900-12328</f>
        <v>373572</v>
      </c>
      <c r="G75" s="46">
        <f>297092-10100</f>
        <v>286992</v>
      </c>
      <c r="H75" s="46">
        <f>314434-3400</f>
        <v>311034</v>
      </c>
      <c r="I75" s="46">
        <v>330852</v>
      </c>
      <c r="J75" s="34">
        <f>366032-26430</f>
        <v>339602</v>
      </c>
      <c r="K75" s="67">
        <v>422160</v>
      </c>
      <c r="L75" s="46">
        <v>459062</v>
      </c>
      <c r="M75" s="46">
        <v>500458</v>
      </c>
    </row>
    <row r="76" spans="1:13" ht="90.75" customHeight="1" x14ac:dyDescent="0.3">
      <c r="A76" s="6" t="s">
        <v>133</v>
      </c>
      <c r="B76" s="1" t="s">
        <v>5</v>
      </c>
      <c r="C76" s="1" t="s">
        <v>6</v>
      </c>
      <c r="D76" s="46">
        <f>SUM(E76:M76)</f>
        <v>19500</v>
      </c>
      <c r="E76" s="46">
        <v>0</v>
      </c>
      <c r="F76" s="46">
        <v>5600</v>
      </c>
      <c r="G76" s="46">
        <v>0</v>
      </c>
      <c r="H76" s="46">
        <v>0</v>
      </c>
      <c r="I76" s="46">
        <v>0</v>
      </c>
      <c r="J76" s="34">
        <v>0</v>
      </c>
      <c r="K76" s="67">
        <v>13900</v>
      </c>
      <c r="L76" s="46">
        <v>0</v>
      </c>
      <c r="M76" s="43">
        <v>0</v>
      </c>
    </row>
    <row r="77" spans="1:13" ht="96.75" customHeight="1" x14ac:dyDescent="0.3">
      <c r="A77" s="6" t="s">
        <v>60</v>
      </c>
      <c r="B77" s="1" t="s">
        <v>5</v>
      </c>
      <c r="C77" s="1" t="s">
        <v>6</v>
      </c>
      <c r="D77" s="46">
        <f>SUM(E77:M77)</f>
        <v>2722463.3699999996</v>
      </c>
      <c r="E77" s="46">
        <f>452480.57+75500</f>
        <v>527980.57000000007</v>
      </c>
      <c r="F77" s="46">
        <f>145000+557910.85-37097.32</f>
        <v>665813.53</v>
      </c>
      <c r="G77" s="46">
        <f>0+300000+102008.17-3685.16</f>
        <v>398323.01</v>
      </c>
      <c r="H77" s="46">
        <f>9999.7+140000</f>
        <v>149999.70000000001</v>
      </c>
      <c r="I77" s="46">
        <v>531813.71</v>
      </c>
      <c r="J77" s="34">
        <v>431533.05</v>
      </c>
      <c r="K77" s="67">
        <v>16999.8</v>
      </c>
      <c r="L77" s="46">
        <v>0</v>
      </c>
      <c r="M77" s="43">
        <v>0</v>
      </c>
    </row>
    <row r="78" spans="1:13" ht="96.75" customHeight="1" x14ac:dyDescent="0.3">
      <c r="A78" s="7" t="s">
        <v>61</v>
      </c>
      <c r="B78" s="1" t="s">
        <v>5</v>
      </c>
      <c r="C78" s="1" t="s">
        <v>6</v>
      </c>
      <c r="D78" s="46">
        <f>SUM(E78:M78)</f>
        <v>90764.43</v>
      </c>
      <c r="E78" s="46">
        <v>0</v>
      </c>
      <c r="F78" s="46">
        <v>0</v>
      </c>
      <c r="G78" s="46">
        <v>0</v>
      </c>
      <c r="H78" s="46">
        <v>0</v>
      </c>
      <c r="I78" s="46">
        <v>0</v>
      </c>
      <c r="J78" s="34">
        <v>90764.43</v>
      </c>
      <c r="K78" s="67">
        <v>0</v>
      </c>
      <c r="L78" s="46">
        <v>0</v>
      </c>
      <c r="M78" s="43">
        <v>0</v>
      </c>
    </row>
    <row r="79" spans="1:13" ht="38.85" customHeight="1" x14ac:dyDescent="0.3">
      <c r="A79" s="79" t="s">
        <v>142</v>
      </c>
      <c r="B79" s="88" t="s">
        <v>26</v>
      </c>
      <c r="C79" s="14" t="s">
        <v>17</v>
      </c>
      <c r="D79" s="31">
        <f>D80+D81</f>
        <v>2232868105.3399997</v>
      </c>
      <c r="E79" s="31">
        <f t="shared" ref="E79:M79" si="23">E80+E81</f>
        <v>143413098.41</v>
      </c>
      <c r="F79" s="31">
        <f t="shared" si="23"/>
        <v>189662549.77000004</v>
      </c>
      <c r="G79" s="31">
        <f t="shared" si="23"/>
        <v>229655560.42999998</v>
      </c>
      <c r="H79" s="31">
        <f t="shared" si="23"/>
        <v>253591107.39000002</v>
      </c>
      <c r="I79" s="31">
        <f t="shared" si="23"/>
        <v>292035638.84000003</v>
      </c>
      <c r="J79" s="47">
        <f t="shared" si="23"/>
        <v>292662139.48000002</v>
      </c>
      <c r="K79" s="62">
        <f t="shared" si="23"/>
        <v>311202763.06</v>
      </c>
      <c r="L79" s="31">
        <f t="shared" si="23"/>
        <v>259722623.98000002</v>
      </c>
      <c r="M79" s="45">
        <f t="shared" si="23"/>
        <v>260922623.97999999</v>
      </c>
    </row>
    <row r="80" spans="1:13" ht="38.85" customHeight="1" x14ac:dyDescent="0.3">
      <c r="A80" s="80"/>
      <c r="B80" s="89"/>
      <c r="C80" s="40" t="s">
        <v>6</v>
      </c>
      <c r="D80" s="31">
        <f>D84+D92+D111+D116+D117+D118+D119+D120+D121+D122+D124+D126+D129+D142+D143+D146+D127+D147+D148+D149+D150</f>
        <v>2186550876.0399995</v>
      </c>
      <c r="E80" s="31">
        <f t="shared" ref="E80:I80" si="24">E84+E92+E111+E116+E117+E118+E119+E120+E121+E122+E124+E126+E129+E142+E143+E146+E127+E147+E148</f>
        <v>143413098.41</v>
      </c>
      <c r="F80" s="31">
        <f t="shared" si="24"/>
        <v>182840520.47000003</v>
      </c>
      <c r="G80" s="31">
        <f t="shared" si="24"/>
        <v>225418260.42999998</v>
      </c>
      <c r="H80" s="31">
        <f t="shared" si="24"/>
        <v>253591107.39000002</v>
      </c>
      <c r="I80" s="31">
        <f t="shared" si="24"/>
        <v>286777738.84000003</v>
      </c>
      <c r="J80" s="47">
        <f>J84+J92+J111+J116+J117+J118+J119+J120+J121+J122+J124+J126+J129+J142+J143+J146+J127+J147+J148+J149+J150</f>
        <v>292662139.48000002</v>
      </c>
      <c r="K80" s="62">
        <f t="shared" ref="K80:M80" si="25">K84+K92+K111+K116+K117+K118+K119+K120+K121+K122+K124+K126+K129+K142+K143+K146+K127+K147+K148+K149+K150</f>
        <v>311202763.06</v>
      </c>
      <c r="L80" s="31">
        <f t="shared" si="25"/>
        <v>244722623.98000002</v>
      </c>
      <c r="M80" s="45">
        <f t="shared" si="25"/>
        <v>245922623.97999999</v>
      </c>
    </row>
    <row r="81" spans="1:16" ht="38.85" customHeight="1" x14ac:dyDescent="0.3">
      <c r="A81" s="81"/>
      <c r="B81" s="119"/>
      <c r="C81" s="40" t="s">
        <v>27</v>
      </c>
      <c r="D81" s="31">
        <f>D125+D130+D131</f>
        <v>46317229.299999997</v>
      </c>
      <c r="E81" s="31">
        <f t="shared" ref="E81:M81" si="26">E125+E130+E131</f>
        <v>0</v>
      </c>
      <c r="F81" s="31">
        <f t="shared" si="26"/>
        <v>6822029.2999999998</v>
      </c>
      <c r="G81" s="31">
        <f t="shared" si="26"/>
        <v>4237300</v>
      </c>
      <c r="H81" s="31">
        <f t="shared" si="26"/>
        <v>0</v>
      </c>
      <c r="I81" s="31">
        <f t="shared" si="26"/>
        <v>5257900</v>
      </c>
      <c r="J81" s="47">
        <f t="shared" si="26"/>
        <v>0</v>
      </c>
      <c r="K81" s="62">
        <f t="shared" si="26"/>
        <v>0</v>
      </c>
      <c r="L81" s="31">
        <f t="shared" si="26"/>
        <v>15000000</v>
      </c>
      <c r="M81" s="45">
        <f t="shared" si="26"/>
        <v>15000000</v>
      </c>
    </row>
    <row r="82" spans="1:16" ht="82.5" customHeight="1" x14ac:dyDescent="0.3">
      <c r="A82" s="6" t="s">
        <v>62</v>
      </c>
      <c r="B82" s="1" t="s">
        <v>22</v>
      </c>
      <c r="C82" s="1" t="s">
        <v>6</v>
      </c>
      <c r="D82" s="3" t="s">
        <v>7</v>
      </c>
      <c r="E82" s="3" t="s">
        <v>7</v>
      </c>
      <c r="F82" s="3" t="s">
        <v>7</v>
      </c>
      <c r="G82" s="3" t="s">
        <v>7</v>
      </c>
      <c r="H82" s="3" t="s">
        <v>7</v>
      </c>
      <c r="I82" s="3" t="s">
        <v>7</v>
      </c>
      <c r="J82" s="48" t="s">
        <v>7</v>
      </c>
      <c r="K82" s="63" t="s">
        <v>7</v>
      </c>
      <c r="L82" s="3" t="s">
        <v>7</v>
      </c>
      <c r="M82" s="28" t="s">
        <v>7</v>
      </c>
    </row>
    <row r="83" spans="1:16" ht="104.25" customHeight="1" x14ac:dyDescent="0.3">
      <c r="A83" s="7" t="s">
        <v>63</v>
      </c>
      <c r="B83" s="1" t="s">
        <v>13</v>
      </c>
      <c r="C83" s="1" t="s">
        <v>6</v>
      </c>
      <c r="D83" s="3" t="s">
        <v>7</v>
      </c>
      <c r="E83" s="3" t="s">
        <v>7</v>
      </c>
      <c r="F83" s="3" t="s">
        <v>7</v>
      </c>
      <c r="G83" s="3" t="s">
        <v>7</v>
      </c>
      <c r="H83" s="3" t="s">
        <v>7</v>
      </c>
      <c r="I83" s="3" t="s">
        <v>7</v>
      </c>
      <c r="J83" s="48" t="s">
        <v>7</v>
      </c>
      <c r="K83" s="63" t="s">
        <v>7</v>
      </c>
      <c r="L83" s="3" t="s">
        <v>7</v>
      </c>
      <c r="M83" s="28" t="s">
        <v>7</v>
      </c>
    </row>
    <row r="84" spans="1:16" s="53" customFormat="1" ht="115.5" customHeight="1" x14ac:dyDescent="0.3">
      <c r="A84" s="59" t="s">
        <v>64</v>
      </c>
      <c r="B84" s="14" t="s">
        <v>14</v>
      </c>
      <c r="C84" s="14" t="s">
        <v>17</v>
      </c>
      <c r="D84" s="33">
        <f>SUM(D85:D91)</f>
        <v>69401548</v>
      </c>
      <c r="E84" s="33">
        <f t="shared" ref="E84:M84" si="27">SUM(E85:E91)</f>
        <v>5475970</v>
      </c>
      <c r="F84" s="33">
        <f t="shared" si="27"/>
        <v>7867873</v>
      </c>
      <c r="G84" s="33">
        <f t="shared" si="27"/>
        <v>20110170</v>
      </c>
      <c r="H84" s="33">
        <f t="shared" si="27"/>
        <v>7765135</v>
      </c>
      <c r="I84" s="33">
        <f t="shared" si="27"/>
        <v>13392550</v>
      </c>
      <c r="J84" s="51">
        <f t="shared" si="27"/>
        <v>8091450</v>
      </c>
      <c r="K84" s="65">
        <f t="shared" si="27"/>
        <v>6698400</v>
      </c>
      <c r="L84" s="33">
        <f t="shared" si="27"/>
        <v>0</v>
      </c>
      <c r="M84" s="56">
        <f t="shared" si="27"/>
        <v>0</v>
      </c>
    </row>
    <row r="85" spans="1:16" ht="85.5" customHeight="1" x14ac:dyDescent="0.3">
      <c r="A85" s="7" t="s">
        <v>65</v>
      </c>
      <c r="B85" s="1" t="s">
        <v>14</v>
      </c>
      <c r="C85" s="1" t="s">
        <v>6</v>
      </c>
      <c r="D85" s="3">
        <f t="shared" ref="D85:D91" si="28">SUM(E85:M85)</f>
        <v>46419460</v>
      </c>
      <c r="E85" s="3">
        <v>3130970</v>
      </c>
      <c r="F85" s="3">
        <f>2525970-299000+3300000+2299000+41903</f>
        <v>7867873</v>
      </c>
      <c r="G85" s="3">
        <f>4810170+6000000+9300000</f>
        <v>20110170</v>
      </c>
      <c r="H85" s="3">
        <f>4444135-600000+234412</f>
        <v>4078547</v>
      </c>
      <c r="I85" s="3">
        <v>3071300</v>
      </c>
      <c r="J85" s="48">
        <v>4862200</v>
      </c>
      <c r="K85" s="63">
        <f>2959200+523200-184000</f>
        <v>3298400</v>
      </c>
      <c r="L85" s="3">
        <v>0</v>
      </c>
      <c r="M85" s="43">
        <v>0</v>
      </c>
    </row>
    <row r="86" spans="1:16" ht="109.2" customHeight="1" x14ac:dyDescent="0.3">
      <c r="A86" s="8" t="s">
        <v>66</v>
      </c>
      <c r="B86" s="1" t="s">
        <v>49</v>
      </c>
      <c r="C86" s="1" t="s">
        <v>6</v>
      </c>
      <c r="D86" s="3">
        <f t="shared" si="28"/>
        <v>2997000</v>
      </c>
      <c r="E86" s="3">
        <v>0</v>
      </c>
      <c r="F86" s="3">
        <v>0</v>
      </c>
      <c r="G86" s="3">
        <v>0</v>
      </c>
      <c r="H86" s="3">
        <v>0</v>
      </c>
      <c r="I86" s="3">
        <v>2997000</v>
      </c>
      <c r="J86" s="48">
        <v>0</v>
      </c>
      <c r="K86" s="63">
        <v>0</v>
      </c>
      <c r="L86" s="3">
        <v>0</v>
      </c>
      <c r="M86" s="43">
        <v>0</v>
      </c>
    </row>
    <row r="87" spans="1:16" ht="228" customHeight="1" x14ac:dyDescent="0.3">
      <c r="A87" s="8" t="s">
        <v>148</v>
      </c>
      <c r="B87" s="1" t="s">
        <v>50</v>
      </c>
      <c r="C87" s="1" t="s">
        <v>6</v>
      </c>
      <c r="D87" s="3">
        <f t="shared" si="28"/>
        <v>4178500</v>
      </c>
      <c r="E87" s="3">
        <v>0</v>
      </c>
      <c r="F87" s="3">
        <v>0</v>
      </c>
      <c r="G87" s="3">
        <v>0</v>
      </c>
      <c r="H87" s="3">
        <v>0</v>
      </c>
      <c r="I87" s="3">
        <v>2089250</v>
      </c>
      <c r="J87" s="48">
        <v>2089250</v>
      </c>
      <c r="K87" s="63">
        <v>0</v>
      </c>
      <c r="L87" s="3">
        <v>0</v>
      </c>
      <c r="M87" s="43">
        <v>0</v>
      </c>
      <c r="P87" s="16"/>
    </row>
    <row r="88" spans="1:16" ht="119.25" customHeight="1" x14ac:dyDescent="0.3">
      <c r="A88" s="8" t="s">
        <v>67</v>
      </c>
      <c r="B88" s="1" t="s">
        <v>14</v>
      </c>
      <c r="C88" s="1" t="s">
        <v>6</v>
      </c>
      <c r="D88" s="3">
        <f t="shared" si="28"/>
        <v>301588</v>
      </c>
      <c r="E88" s="3">
        <v>0</v>
      </c>
      <c r="F88" s="3">
        <v>0</v>
      </c>
      <c r="G88" s="3">
        <v>0</v>
      </c>
      <c r="H88" s="3">
        <f>600000-298412</f>
        <v>301588</v>
      </c>
      <c r="I88" s="3">
        <v>0</v>
      </c>
      <c r="J88" s="48">
        <v>0</v>
      </c>
      <c r="K88" s="63">
        <v>0</v>
      </c>
      <c r="L88" s="3">
        <v>0</v>
      </c>
      <c r="M88" s="43">
        <v>0</v>
      </c>
    </row>
    <row r="89" spans="1:16" ht="119.25" customHeight="1" x14ac:dyDescent="0.3">
      <c r="A89" s="8" t="s">
        <v>68</v>
      </c>
      <c r="B89" s="1" t="s">
        <v>14</v>
      </c>
      <c r="C89" s="1" t="s">
        <v>6</v>
      </c>
      <c r="D89" s="3">
        <f t="shared" si="28"/>
        <v>95000</v>
      </c>
      <c r="E89" s="3">
        <v>95000</v>
      </c>
      <c r="F89" s="3">
        <v>0</v>
      </c>
      <c r="G89" s="3">
        <v>0</v>
      </c>
      <c r="H89" s="3">
        <v>0</v>
      </c>
      <c r="I89" s="3">
        <v>0</v>
      </c>
      <c r="J89" s="48">
        <v>0</v>
      </c>
      <c r="K89" s="63">
        <v>0</v>
      </c>
      <c r="L89" s="3">
        <v>0</v>
      </c>
      <c r="M89" s="43">
        <v>0</v>
      </c>
    </row>
    <row r="90" spans="1:16" ht="96.75" customHeight="1" x14ac:dyDescent="0.3">
      <c r="A90" s="7" t="s">
        <v>69</v>
      </c>
      <c r="B90" s="1" t="s">
        <v>14</v>
      </c>
      <c r="C90" s="1" t="s">
        <v>6</v>
      </c>
      <c r="D90" s="3">
        <f t="shared" si="28"/>
        <v>8640000</v>
      </c>
      <c r="E90" s="3">
        <v>2250000</v>
      </c>
      <c r="F90" s="3">
        <f>299000-299000</f>
        <v>0</v>
      </c>
      <c r="G90" s="3">
        <f>1500000-1500000</f>
        <v>0</v>
      </c>
      <c r="H90" s="3">
        <v>0</v>
      </c>
      <c r="I90" s="3">
        <v>1850000</v>
      </c>
      <c r="J90" s="48">
        <f>1600000-800-459200</f>
        <v>1140000</v>
      </c>
      <c r="K90" s="63">
        <f>4000000-76800-523200</f>
        <v>3400000</v>
      </c>
      <c r="L90" s="3">
        <v>0</v>
      </c>
      <c r="M90" s="43">
        <v>0</v>
      </c>
    </row>
    <row r="91" spans="1:16" ht="96.75" customHeight="1" x14ac:dyDescent="0.3">
      <c r="A91" s="7" t="s">
        <v>70</v>
      </c>
      <c r="B91" s="1" t="s">
        <v>44</v>
      </c>
      <c r="C91" s="1" t="s">
        <v>6</v>
      </c>
      <c r="D91" s="3">
        <f t="shared" si="28"/>
        <v>6770000</v>
      </c>
      <c r="E91" s="3">
        <v>0</v>
      </c>
      <c r="F91" s="3">
        <v>0</v>
      </c>
      <c r="G91" s="3">
        <v>0</v>
      </c>
      <c r="H91" s="3">
        <f>4503600-1118600</f>
        <v>3385000</v>
      </c>
      <c r="I91" s="3">
        <v>3385000</v>
      </c>
      <c r="J91" s="48">
        <v>0</v>
      </c>
      <c r="K91" s="63">
        <v>0</v>
      </c>
      <c r="L91" s="3">
        <v>0</v>
      </c>
      <c r="M91" s="43">
        <v>0</v>
      </c>
    </row>
    <row r="92" spans="1:16" s="53" customFormat="1" ht="110.25" customHeight="1" x14ac:dyDescent="0.3">
      <c r="A92" s="79" t="s">
        <v>71</v>
      </c>
      <c r="B92" s="14" t="s">
        <v>10</v>
      </c>
      <c r="C92" s="14" t="s">
        <v>17</v>
      </c>
      <c r="D92" s="31">
        <f>D96+D100+D103+D106+D109+D110</f>
        <v>12508294.08</v>
      </c>
      <c r="E92" s="31">
        <f t="shared" ref="E92:M92" si="29">E96+E100+E103+E106+E109+E110</f>
        <v>1914038.92</v>
      </c>
      <c r="F92" s="31">
        <f t="shared" si="29"/>
        <v>1313129.8</v>
      </c>
      <c r="G92" s="31">
        <f t="shared" si="29"/>
        <v>1409509.6</v>
      </c>
      <c r="H92" s="31">
        <f t="shared" si="29"/>
        <v>1301702.3400000001</v>
      </c>
      <c r="I92" s="31">
        <f t="shared" si="29"/>
        <v>1376425.02</v>
      </c>
      <c r="J92" s="47">
        <f t="shared" si="29"/>
        <v>1293773.3999999999</v>
      </c>
      <c r="K92" s="62">
        <f t="shared" si="29"/>
        <v>1299905</v>
      </c>
      <c r="L92" s="31">
        <f t="shared" si="29"/>
        <v>1299905</v>
      </c>
      <c r="M92" s="45">
        <f t="shared" si="29"/>
        <v>1299905</v>
      </c>
    </row>
    <row r="93" spans="1:16" ht="20.100000000000001" customHeight="1" x14ac:dyDescent="0.35">
      <c r="A93" s="80"/>
      <c r="B93" s="19" t="s">
        <v>2</v>
      </c>
      <c r="C93" s="1" t="s">
        <v>6</v>
      </c>
      <c r="D93" s="46">
        <f>D97+D101+D104+D107+D109+D110</f>
        <v>9453578.2700000014</v>
      </c>
      <c r="E93" s="46">
        <f>E97+E101+E104+E107+E109</f>
        <v>1629873.92</v>
      </c>
      <c r="F93" s="46">
        <f t="shared" ref="F93:I93" si="30">F97+F101+F104+F107+F109</f>
        <v>1087434.8</v>
      </c>
      <c r="G93" s="46">
        <f t="shared" si="30"/>
        <v>1183814.6000000001</v>
      </c>
      <c r="H93" s="46">
        <f t="shared" si="30"/>
        <v>1076007.3400000001</v>
      </c>
      <c r="I93" s="46">
        <f t="shared" si="30"/>
        <v>1067187.6099999999</v>
      </c>
      <c r="J93" s="34">
        <f>J97+J101+J104+J107+J109+J110</f>
        <v>735945</v>
      </c>
      <c r="K93" s="68">
        <f t="shared" ref="K93:M93" si="31">K97+K101+K104+K107+K109+K110</f>
        <v>891105</v>
      </c>
      <c r="L93" s="34">
        <f t="shared" si="31"/>
        <v>891105</v>
      </c>
      <c r="M93" s="34">
        <f t="shared" si="31"/>
        <v>891105</v>
      </c>
    </row>
    <row r="94" spans="1:16" ht="19.5" customHeight="1" x14ac:dyDescent="0.35">
      <c r="A94" s="80"/>
      <c r="B94" s="19" t="s">
        <v>3</v>
      </c>
      <c r="C94" s="1" t="s">
        <v>6</v>
      </c>
      <c r="D94" s="46">
        <f>SUM(E94:M94)</f>
        <v>2954955.75</v>
      </c>
      <c r="E94" s="46">
        <f>E98+E102+E105+E108</f>
        <v>273095</v>
      </c>
      <c r="F94" s="46">
        <f>F98+F102+F105+F108</f>
        <v>214625</v>
      </c>
      <c r="G94" s="46">
        <f t="shared" ref="G94:M94" si="32">G98+G102+G105+G108</f>
        <v>214625</v>
      </c>
      <c r="H94" s="46">
        <f t="shared" si="32"/>
        <v>214625</v>
      </c>
      <c r="I94" s="46">
        <f t="shared" si="32"/>
        <v>301757.34999999998</v>
      </c>
      <c r="J94" s="34">
        <f t="shared" si="32"/>
        <v>545828.4</v>
      </c>
      <c r="K94" s="67">
        <f t="shared" si="32"/>
        <v>396800</v>
      </c>
      <c r="L94" s="46">
        <f t="shared" si="32"/>
        <v>396800</v>
      </c>
      <c r="M94" s="43">
        <f t="shared" si="32"/>
        <v>396800</v>
      </c>
    </row>
    <row r="95" spans="1:16" ht="20.100000000000001" customHeight="1" x14ac:dyDescent="0.3">
      <c r="A95" s="81"/>
      <c r="B95" s="1" t="s">
        <v>4</v>
      </c>
      <c r="C95" s="1" t="s">
        <v>6</v>
      </c>
      <c r="D95" s="46">
        <f>SUM(E95:M95)</f>
        <v>99760.06</v>
      </c>
      <c r="E95" s="46">
        <f>E99</f>
        <v>11070</v>
      </c>
      <c r="F95" s="46">
        <f>F99</f>
        <v>11070</v>
      </c>
      <c r="G95" s="46">
        <f t="shared" ref="G95:M95" si="33">G99</f>
        <v>11070</v>
      </c>
      <c r="H95" s="46">
        <f t="shared" si="33"/>
        <v>11070</v>
      </c>
      <c r="I95" s="46">
        <f t="shared" si="33"/>
        <v>7480.06</v>
      </c>
      <c r="J95" s="34">
        <f t="shared" si="33"/>
        <v>12000</v>
      </c>
      <c r="K95" s="67">
        <f t="shared" si="33"/>
        <v>12000</v>
      </c>
      <c r="L95" s="46">
        <f t="shared" si="33"/>
        <v>12000</v>
      </c>
      <c r="M95" s="43">
        <f t="shared" si="33"/>
        <v>12000</v>
      </c>
    </row>
    <row r="96" spans="1:16" ht="106.5" customHeight="1" x14ac:dyDescent="0.3">
      <c r="A96" s="91" t="s">
        <v>72</v>
      </c>
      <c r="B96" s="1" t="s">
        <v>10</v>
      </c>
      <c r="C96" s="1" t="s">
        <v>17</v>
      </c>
      <c r="D96" s="46">
        <f>D97+D98+D99</f>
        <v>6068168.8399999999</v>
      </c>
      <c r="E96" s="46">
        <f t="shared" ref="E96:M96" si="34">E97+E98+E99</f>
        <v>1147429.92</v>
      </c>
      <c r="F96" s="46">
        <f t="shared" si="34"/>
        <v>609770</v>
      </c>
      <c r="G96" s="46">
        <f t="shared" si="34"/>
        <v>581070</v>
      </c>
      <c r="H96" s="46">
        <f t="shared" si="34"/>
        <v>553969.60000000009</v>
      </c>
      <c r="I96" s="46">
        <f t="shared" si="34"/>
        <v>720460.92</v>
      </c>
      <c r="J96" s="34">
        <f t="shared" si="34"/>
        <v>607513.4</v>
      </c>
      <c r="K96" s="67">
        <f t="shared" si="34"/>
        <v>615985</v>
      </c>
      <c r="L96" s="46">
        <f t="shared" si="34"/>
        <v>615985</v>
      </c>
      <c r="M96" s="43">
        <f t="shared" si="34"/>
        <v>615985</v>
      </c>
    </row>
    <row r="97" spans="1:17" ht="20.25" customHeight="1" x14ac:dyDescent="0.35">
      <c r="A97" s="92"/>
      <c r="B97" s="19" t="s">
        <v>2</v>
      </c>
      <c r="C97" s="1" t="s">
        <v>6</v>
      </c>
      <c r="D97" s="46">
        <f t="shared" ref="D97:D102" si="35">SUM(E97:M97)</f>
        <v>5496077.1299999999</v>
      </c>
      <c r="E97" s="46">
        <f>344850+264000+272800+262000-103760.08</f>
        <v>1039889.92</v>
      </c>
      <c r="F97" s="46">
        <f>344850+264000+272800-320950</f>
        <v>560700</v>
      </c>
      <c r="G97" s="46">
        <f>688490.4-71350-70000-15140.4</f>
        <v>532000</v>
      </c>
      <c r="H97" s="46">
        <f>547140.4-26154.8-12200.5-4885.5</f>
        <v>503899.60000000003</v>
      </c>
      <c r="I97" s="46">
        <v>670847.61</v>
      </c>
      <c r="J97" s="34">
        <v>547185</v>
      </c>
      <c r="K97" s="67">
        <v>547185</v>
      </c>
      <c r="L97" s="46">
        <v>547185</v>
      </c>
      <c r="M97" s="43">
        <v>547185</v>
      </c>
    </row>
    <row r="98" spans="1:17" ht="20.25" customHeight="1" x14ac:dyDescent="0.35">
      <c r="A98" s="92"/>
      <c r="B98" s="19" t="s">
        <v>3</v>
      </c>
      <c r="C98" s="1" t="s">
        <v>6</v>
      </c>
      <c r="D98" s="46">
        <f t="shared" si="35"/>
        <v>472331.65</v>
      </c>
      <c r="E98" s="46">
        <v>96470</v>
      </c>
      <c r="F98" s="46">
        <f>96470-58470</f>
        <v>38000</v>
      </c>
      <c r="G98" s="46">
        <f>38000</f>
        <v>38000</v>
      </c>
      <c r="H98" s="46">
        <v>39000</v>
      </c>
      <c r="I98" s="46">
        <v>42133.25</v>
      </c>
      <c r="J98" s="34">
        <f>56800-8471.6</f>
        <v>48328.4</v>
      </c>
      <c r="K98" s="67">
        <v>56800</v>
      </c>
      <c r="L98" s="46">
        <v>56800</v>
      </c>
      <c r="M98" s="43">
        <v>56800</v>
      </c>
    </row>
    <row r="99" spans="1:17" ht="20.25" customHeight="1" x14ac:dyDescent="0.3">
      <c r="A99" s="93"/>
      <c r="B99" s="1" t="s">
        <v>4</v>
      </c>
      <c r="C99" s="1" t="s">
        <v>6</v>
      </c>
      <c r="D99" s="46">
        <f t="shared" si="35"/>
        <v>99760.06</v>
      </c>
      <c r="E99" s="46">
        <v>11070</v>
      </c>
      <c r="F99" s="46">
        <v>11070</v>
      </c>
      <c r="G99" s="46">
        <v>11070</v>
      </c>
      <c r="H99" s="46">
        <v>11070</v>
      </c>
      <c r="I99" s="46">
        <v>7480.06</v>
      </c>
      <c r="J99" s="34">
        <v>12000</v>
      </c>
      <c r="K99" s="67">
        <v>12000</v>
      </c>
      <c r="L99" s="46">
        <v>12000</v>
      </c>
      <c r="M99" s="43">
        <v>12000</v>
      </c>
    </row>
    <row r="100" spans="1:17" ht="68.400000000000006" customHeight="1" x14ac:dyDescent="0.3">
      <c r="A100" s="91" t="s">
        <v>73</v>
      </c>
      <c r="B100" s="1" t="s">
        <v>41</v>
      </c>
      <c r="C100" s="1" t="s">
        <v>17</v>
      </c>
      <c r="D100" s="46">
        <f t="shared" si="35"/>
        <v>1137539.3999999999</v>
      </c>
      <c r="E100" s="46">
        <f>E101+E102</f>
        <v>169559</v>
      </c>
      <c r="F100" s="46">
        <f>F101+F102</f>
        <v>160079.79999999999</v>
      </c>
      <c r="G100" s="46">
        <f t="shared" ref="G100:M100" si="36">G101+G102</f>
        <v>155159.6</v>
      </c>
      <c r="H100" s="46">
        <f t="shared" si="36"/>
        <v>223421</v>
      </c>
      <c r="I100" s="46">
        <f t="shared" si="36"/>
        <v>239320</v>
      </c>
      <c r="J100" s="34">
        <f t="shared" si="36"/>
        <v>90000</v>
      </c>
      <c r="K100" s="67">
        <f t="shared" si="36"/>
        <v>0</v>
      </c>
      <c r="L100" s="46">
        <f t="shared" si="36"/>
        <v>50000</v>
      </c>
      <c r="M100" s="46">
        <f t="shared" si="36"/>
        <v>50000</v>
      </c>
    </row>
    <row r="101" spans="1:17" ht="20.25" customHeight="1" x14ac:dyDescent="0.35">
      <c r="A101" s="92"/>
      <c r="B101" s="19" t="s">
        <v>2</v>
      </c>
      <c r="C101" s="1" t="s">
        <v>6</v>
      </c>
      <c r="D101" s="46">
        <f t="shared" si="35"/>
        <v>951039.4</v>
      </c>
      <c r="E101" s="35">
        <f>84534.6+50399.4</f>
        <v>134934</v>
      </c>
      <c r="F101" s="35">
        <f>84534.6+40920.2</f>
        <v>125454.8</v>
      </c>
      <c r="G101" s="35">
        <f>84534.6+36000</f>
        <v>120534.6</v>
      </c>
      <c r="H101" s="35">
        <f>84534.6+36000-1705.74+70000-32.86</f>
        <v>188796</v>
      </c>
      <c r="I101" s="35">
        <v>191320</v>
      </c>
      <c r="J101" s="52">
        <v>90000</v>
      </c>
      <c r="K101" s="69">
        <f>50000-50000</f>
        <v>0</v>
      </c>
      <c r="L101" s="35">
        <v>50000</v>
      </c>
      <c r="M101" s="43">
        <v>50000</v>
      </c>
    </row>
    <row r="102" spans="1:17" ht="20.25" customHeight="1" x14ac:dyDescent="0.35">
      <c r="A102" s="93"/>
      <c r="B102" s="19" t="s">
        <v>3</v>
      </c>
      <c r="C102" s="1" t="s">
        <v>6</v>
      </c>
      <c r="D102" s="46">
        <f t="shared" si="35"/>
        <v>186500</v>
      </c>
      <c r="E102" s="35">
        <v>34625</v>
      </c>
      <c r="F102" s="35">
        <v>34625</v>
      </c>
      <c r="G102" s="35">
        <v>34625</v>
      </c>
      <c r="H102" s="35">
        <v>34625</v>
      </c>
      <c r="I102" s="35">
        <v>48000</v>
      </c>
      <c r="J102" s="52">
        <v>0</v>
      </c>
      <c r="K102" s="69">
        <v>0</v>
      </c>
      <c r="L102" s="35">
        <v>0</v>
      </c>
      <c r="M102" s="43">
        <v>0</v>
      </c>
    </row>
    <row r="103" spans="1:17" ht="75.599999999999994" customHeight="1" x14ac:dyDescent="0.3">
      <c r="A103" s="91" t="s">
        <v>74</v>
      </c>
      <c r="B103" s="1" t="s">
        <v>42</v>
      </c>
      <c r="C103" s="1" t="s">
        <v>17</v>
      </c>
      <c r="D103" s="46">
        <f>D104+D105</f>
        <v>4598120.0999999996</v>
      </c>
      <c r="E103" s="46">
        <f t="shared" ref="E103:M103" si="37">E104+E105</f>
        <v>567050</v>
      </c>
      <c r="F103" s="46">
        <f t="shared" si="37"/>
        <v>513280</v>
      </c>
      <c r="G103" s="46">
        <f t="shared" si="37"/>
        <v>513280</v>
      </c>
      <c r="H103" s="46">
        <f t="shared" si="37"/>
        <v>492606</v>
      </c>
      <c r="I103" s="46">
        <f t="shared" si="37"/>
        <v>382644.1</v>
      </c>
      <c r="J103" s="46">
        <f t="shared" si="37"/>
        <v>487500</v>
      </c>
      <c r="K103" s="67">
        <f t="shared" si="37"/>
        <v>623920</v>
      </c>
      <c r="L103" s="46">
        <f t="shared" si="37"/>
        <v>508920</v>
      </c>
      <c r="M103" s="46">
        <f t="shared" si="37"/>
        <v>508920</v>
      </c>
    </row>
    <row r="104" spans="1:17" ht="20.25" customHeight="1" x14ac:dyDescent="0.35">
      <c r="A104" s="92"/>
      <c r="B104" s="19" t="s">
        <v>2</v>
      </c>
      <c r="C104" s="1" t="s">
        <v>6</v>
      </c>
      <c r="D104" s="46">
        <f>SUM(E104:M104)</f>
        <v>2375996</v>
      </c>
      <c r="E104" s="35">
        <f>377280+53770</f>
        <v>431050</v>
      </c>
      <c r="F104" s="35">
        <v>377280</v>
      </c>
      <c r="G104" s="35">
        <v>377280</v>
      </c>
      <c r="H104" s="35">
        <f>377280-17850-1824</f>
        <v>357606</v>
      </c>
      <c r="I104" s="35">
        <v>181020</v>
      </c>
      <c r="J104" s="52">
        <f>338920-160000-178920</f>
        <v>0</v>
      </c>
      <c r="K104" s="69">
        <f>178920+115000</f>
        <v>293920</v>
      </c>
      <c r="L104" s="35">
        <v>178920</v>
      </c>
      <c r="M104" s="43">
        <v>178920</v>
      </c>
    </row>
    <row r="105" spans="1:17" ht="20.25" customHeight="1" x14ac:dyDescent="0.35">
      <c r="A105" s="93"/>
      <c r="B105" s="19" t="s">
        <v>3</v>
      </c>
      <c r="C105" s="1" t="s">
        <v>6</v>
      </c>
      <c r="D105" s="46">
        <f>SUM(E105:M105)</f>
        <v>2222124.1</v>
      </c>
      <c r="E105" s="35">
        <v>136000</v>
      </c>
      <c r="F105" s="35">
        <v>136000</v>
      </c>
      <c r="G105" s="35">
        <v>136000</v>
      </c>
      <c r="H105" s="35">
        <v>135000</v>
      </c>
      <c r="I105" s="35">
        <v>201624.1</v>
      </c>
      <c r="J105" s="52">
        <v>487500</v>
      </c>
      <c r="K105" s="69">
        <v>330000</v>
      </c>
      <c r="L105" s="35">
        <v>330000</v>
      </c>
      <c r="M105" s="43">
        <v>330000</v>
      </c>
    </row>
    <row r="106" spans="1:17" ht="69" customHeight="1" x14ac:dyDescent="0.3">
      <c r="A106" s="116" t="s">
        <v>75</v>
      </c>
      <c r="B106" s="1" t="s">
        <v>43</v>
      </c>
      <c r="C106" s="1" t="s">
        <v>17</v>
      </c>
      <c r="D106" s="46">
        <f>D107+D108</f>
        <v>224000</v>
      </c>
      <c r="E106" s="46">
        <f t="shared" ref="E106:M106" si="38">E107+E108</f>
        <v>30000</v>
      </c>
      <c r="F106" s="46">
        <f t="shared" si="38"/>
        <v>30000</v>
      </c>
      <c r="G106" s="46">
        <f t="shared" si="38"/>
        <v>30000</v>
      </c>
      <c r="H106" s="46">
        <f t="shared" si="38"/>
        <v>30000</v>
      </c>
      <c r="I106" s="46">
        <f t="shared" si="38"/>
        <v>34000</v>
      </c>
      <c r="J106" s="34">
        <f t="shared" si="38"/>
        <v>10000</v>
      </c>
      <c r="K106" s="67">
        <f t="shared" si="38"/>
        <v>10000</v>
      </c>
      <c r="L106" s="46">
        <f t="shared" si="38"/>
        <v>25000</v>
      </c>
      <c r="M106" s="46">
        <f t="shared" si="38"/>
        <v>25000</v>
      </c>
    </row>
    <row r="107" spans="1:17" ht="20.25" customHeight="1" x14ac:dyDescent="0.35">
      <c r="A107" s="117"/>
      <c r="B107" s="19" t="s">
        <v>2</v>
      </c>
      <c r="C107" s="1" t="s">
        <v>6</v>
      </c>
      <c r="D107" s="46">
        <f>SUM(E107:M107)</f>
        <v>150000</v>
      </c>
      <c r="E107" s="46">
        <v>24000</v>
      </c>
      <c r="F107" s="46">
        <v>24000</v>
      </c>
      <c r="G107" s="46">
        <v>24000</v>
      </c>
      <c r="H107" s="46">
        <v>24000</v>
      </c>
      <c r="I107" s="46">
        <v>24000</v>
      </c>
      <c r="J107" s="34">
        <f>15000-15000</f>
        <v>0</v>
      </c>
      <c r="K107" s="67">
        <f>15000-15000</f>
        <v>0</v>
      </c>
      <c r="L107" s="46">
        <v>15000</v>
      </c>
      <c r="M107" s="43">
        <v>15000</v>
      </c>
    </row>
    <row r="108" spans="1:17" ht="20.25" customHeight="1" x14ac:dyDescent="0.35">
      <c r="A108" s="118"/>
      <c r="B108" s="19" t="s">
        <v>3</v>
      </c>
      <c r="C108" s="1" t="s">
        <v>6</v>
      </c>
      <c r="D108" s="46">
        <f>SUM(E108:M108)</f>
        <v>74000</v>
      </c>
      <c r="E108" s="46">
        <v>6000</v>
      </c>
      <c r="F108" s="46">
        <v>6000</v>
      </c>
      <c r="G108" s="46">
        <v>6000</v>
      </c>
      <c r="H108" s="46">
        <v>6000</v>
      </c>
      <c r="I108" s="46">
        <v>10000</v>
      </c>
      <c r="J108" s="34">
        <v>10000</v>
      </c>
      <c r="K108" s="67">
        <v>10000</v>
      </c>
      <c r="L108" s="46">
        <v>10000</v>
      </c>
      <c r="M108" s="43">
        <v>10000</v>
      </c>
    </row>
    <row r="109" spans="1:17" ht="61.95" customHeight="1" x14ac:dyDescent="0.3">
      <c r="A109" s="20" t="s">
        <v>76</v>
      </c>
      <c r="B109" s="1" t="s">
        <v>9</v>
      </c>
      <c r="C109" s="1" t="s">
        <v>6</v>
      </c>
      <c r="D109" s="46">
        <f>SUM(E109:M109)</f>
        <v>131705.74</v>
      </c>
      <c r="E109" s="46">
        <v>0</v>
      </c>
      <c r="F109" s="46">
        <v>0</v>
      </c>
      <c r="G109" s="46">
        <v>130000</v>
      </c>
      <c r="H109" s="46">
        <f>1705.74</f>
        <v>1705.74</v>
      </c>
      <c r="I109" s="46">
        <v>0</v>
      </c>
      <c r="J109" s="34">
        <v>0</v>
      </c>
      <c r="K109" s="67">
        <v>0</v>
      </c>
      <c r="L109" s="46">
        <v>0</v>
      </c>
      <c r="M109" s="43">
        <v>0</v>
      </c>
    </row>
    <row r="110" spans="1:17" ht="76.2" customHeight="1" x14ac:dyDescent="0.3">
      <c r="A110" s="20" t="s">
        <v>77</v>
      </c>
      <c r="B110" s="1" t="s">
        <v>9</v>
      </c>
      <c r="C110" s="1" t="s">
        <v>6</v>
      </c>
      <c r="D110" s="46">
        <f>SUM(E110:M110)</f>
        <v>348760</v>
      </c>
      <c r="E110" s="46">
        <v>0</v>
      </c>
      <c r="F110" s="46">
        <v>0</v>
      </c>
      <c r="G110" s="46">
        <v>0</v>
      </c>
      <c r="H110" s="46">
        <v>0</v>
      </c>
      <c r="I110" s="46">
        <v>0</v>
      </c>
      <c r="J110" s="34">
        <f>100000-1240</f>
        <v>98760</v>
      </c>
      <c r="K110" s="67">
        <f>100000-50000</f>
        <v>50000</v>
      </c>
      <c r="L110" s="46">
        <v>100000</v>
      </c>
      <c r="M110" s="43">
        <v>100000</v>
      </c>
    </row>
    <row r="111" spans="1:17" s="53" customFormat="1" ht="74.400000000000006" customHeight="1" x14ac:dyDescent="0.3">
      <c r="A111" s="58" t="s">
        <v>78</v>
      </c>
      <c r="B111" s="14" t="s">
        <v>9</v>
      </c>
      <c r="C111" s="14" t="s">
        <v>6</v>
      </c>
      <c r="D111" s="31">
        <f>D112+D113+D114+D115</f>
        <v>1166807608.54</v>
      </c>
      <c r="E111" s="31">
        <f t="shared" ref="E111:M111" si="39">E112+E113+E114+E115</f>
        <v>134831689.49000001</v>
      </c>
      <c r="F111" s="31">
        <f t="shared" si="39"/>
        <v>105971077.68000001</v>
      </c>
      <c r="G111" s="31">
        <f t="shared" si="39"/>
        <v>135235419.95999998</v>
      </c>
      <c r="H111" s="31">
        <f t="shared" si="39"/>
        <v>151362962.77000001</v>
      </c>
      <c r="I111" s="31">
        <f t="shared" si="39"/>
        <v>140432681.63</v>
      </c>
      <c r="J111" s="47">
        <f t="shared" si="39"/>
        <v>138041050.18000001</v>
      </c>
      <c r="K111" s="62">
        <f t="shared" si="39"/>
        <v>139961392.34999999</v>
      </c>
      <c r="L111" s="31">
        <f t="shared" si="39"/>
        <v>109885667.23999999</v>
      </c>
      <c r="M111" s="45">
        <f t="shared" si="39"/>
        <v>111085667.23999999</v>
      </c>
    </row>
    <row r="112" spans="1:17" ht="57.75" customHeight="1" x14ac:dyDescent="0.3">
      <c r="A112" s="21" t="s">
        <v>79</v>
      </c>
      <c r="B112" s="1" t="s">
        <v>9</v>
      </c>
      <c r="C112" s="1" t="s">
        <v>6</v>
      </c>
      <c r="D112" s="46">
        <f t="shared" ref="D112:D122" si="40">SUM(E112:M112)</f>
        <v>1072963209.9599999</v>
      </c>
      <c r="E112" s="46">
        <v>84127595.180000007</v>
      </c>
      <c r="F112" s="46">
        <f>91484403.1+7727610.7+63921-21020-500000-826410+256000+3109489.9</f>
        <v>101293994.7</v>
      </c>
      <c r="G112" s="46">
        <f>99572673.72+23171237.13+3636642.24+1917048.3</f>
        <v>128297601.38999999</v>
      </c>
      <c r="H112" s="46">
        <f>111787781.73+16467936.45+262763.55+251921.72-179294.95+18848764.69-23423.45-545964</f>
        <v>146870485.74000001</v>
      </c>
      <c r="I112" s="46">
        <f>133622516.79-145000</f>
        <v>133477516.79000001</v>
      </c>
      <c r="J112" s="34">
        <v>132279701.06999999</v>
      </c>
      <c r="K112" s="67">
        <f>133186752.63+62360+76800+306890+872177.98</f>
        <v>134504980.60999998</v>
      </c>
      <c r="L112" s="46">
        <f>105405783.76+418798.88+229884+1200.6</f>
        <v>106055667.23999999</v>
      </c>
      <c r="M112" s="43">
        <f>122308099.64-15000000-1253633+1200.6</f>
        <v>106055667.23999999</v>
      </c>
      <c r="P112" s="16"/>
      <c r="Q112" s="16"/>
    </row>
    <row r="113" spans="1:13" ht="76.5" customHeight="1" x14ac:dyDescent="0.3">
      <c r="A113" s="21" t="s">
        <v>80</v>
      </c>
      <c r="B113" s="1" t="s">
        <v>8</v>
      </c>
      <c r="C113" s="1" t="s">
        <v>6</v>
      </c>
      <c r="D113" s="46">
        <f t="shared" si="40"/>
        <v>45930382.089999996</v>
      </c>
      <c r="E113" s="46">
        <v>3031329.09</v>
      </c>
      <c r="F113" s="46">
        <f>3231816.41+16000-264000-223278+856546+72404+80000-78193+70435.51+500000+382887.06</f>
        <v>4644617.9799999995</v>
      </c>
      <c r="G113" s="46">
        <f>4226210.41+1247500+967000-331568.84+800000</f>
        <v>6909141.5700000003</v>
      </c>
      <c r="H113" s="46">
        <f>4226253-15000+252256.56</f>
        <v>4463509.5599999996</v>
      </c>
      <c r="I113" s="46">
        <v>6924993.8399999999</v>
      </c>
      <c r="J113" s="34">
        <f>7459942.64-900000-828244.53</f>
        <v>5731698.1099999994</v>
      </c>
      <c r="K113" s="67">
        <f>5841642.6-62360+94500-23400-425290.66-224887.32+224887.32</f>
        <v>5425091.9399999995</v>
      </c>
      <c r="L113" s="46">
        <f>5000000-1200000</f>
        <v>3800000</v>
      </c>
      <c r="M113" s="43">
        <v>5000000</v>
      </c>
    </row>
    <row r="114" spans="1:13" ht="78" customHeight="1" x14ac:dyDescent="0.3">
      <c r="A114" s="6" t="s">
        <v>81</v>
      </c>
      <c r="B114" s="1" t="s">
        <v>26</v>
      </c>
      <c r="C114" s="1" t="s">
        <v>6</v>
      </c>
      <c r="D114" s="46">
        <f t="shared" si="40"/>
        <v>277378.27</v>
      </c>
      <c r="E114" s="46">
        <f>40097-3970</f>
        <v>36127</v>
      </c>
      <c r="F114" s="46">
        <f>40097-3970-3662</f>
        <v>32465</v>
      </c>
      <c r="G114" s="46">
        <f>33666-4989</f>
        <v>28677</v>
      </c>
      <c r="H114" s="46">
        <v>28967.47</v>
      </c>
      <c r="I114" s="46">
        <v>30171</v>
      </c>
      <c r="J114" s="34">
        <f>30000-200-149</f>
        <v>29651</v>
      </c>
      <c r="K114" s="67">
        <f>31200.6+119.2</f>
        <v>31319.8</v>
      </c>
      <c r="L114" s="46">
        <f>31200.6-1200.6</f>
        <v>30000</v>
      </c>
      <c r="M114" s="43">
        <f>31200.6-1200.6</f>
        <v>30000</v>
      </c>
    </row>
    <row r="115" spans="1:13" ht="66.75" customHeight="1" x14ac:dyDescent="0.3">
      <c r="A115" s="6" t="s">
        <v>82</v>
      </c>
      <c r="B115" s="1" t="s">
        <v>11</v>
      </c>
      <c r="C115" s="1" t="s">
        <v>6</v>
      </c>
      <c r="D115" s="46">
        <f t="shared" si="40"/>
        <v>47636638.219999999</v>
      </c>
      <c r="E115" s="46">
        <v>47636638.219999999</v>
      </c>
      <c r="F115" s="46">
        <v>0</v>
      </c>
      <c r="G115" s="46">
        <v>0</v>
      </c>
      <c r="H115" s="46">
        <v>0</v>
      </c>
      <c r="I115" s="46">
        <v>0</v>
      </c>
      <c r="J115" s="34">
        <v>0</v>
      </c>
      <c r="K115" s="67">
        <v>0</v>
      </c>
      <c r="L115" s="46">
        <v>0</v>
      </c>
      <c r="M115" s="43">
        <v>0</v>
      </c>
    </row>
    <row r="116" spans="1:13" ht="57.75" customHeight="1" x14ac:dyDescent="0.3">
      <c r="A116" s="21" t="s">
        <v>83</v>
      </c>
      <c r="B116" s="1" t="s">
        <v>9</v>
      </c>
      <c r="C116" s="1" t="s">
        <v>6</v>
      </c>
      <c r="D116" s="46">
        <f t="shared" si="40"/>
        <v>17564077.43</v>
      </c>
      <c r="E116" s="46">
        <f>1000000-750000</f>
        <v>250000</v>
      </c>
      <c r="F116" s="46">
        <f>1000000-750000+328247.67+64800</f>
        <v>643047.66999999993</v>
      </c>
      <c r="G116" s="46">
        <f>450000+200000+200000</f>
        <v>850000</v>
      </c>
      <c r="H116" s="46">
        <f>11430215.39+90814.37+300000</f>
        <v>11821029.76</v>
      </c>
      <c r="I116" s="46">
        <v>1000000</v>
      </c>
      <c r="J116" s="34">
        <f>1000000-1000000</f>
        <v>0</v>
      </c>
      <c r="K116" s="67">
        <v>1000000</v>
      </c>
      <c r="L116" s="46">
        <v>1000000</v>
      </c>
      <c r="M116" s="43">
        <v>1000000</v>
      </c>
    </row>
    <row r="117" spans="1:13" ht="102" customHeight="1" x14ac:dyDescent="0.3">
      <c r="A117" s="21" t="s">
        <v>84</v>
      </c>
      <c r="B117" s="1" t="s">
        <v>9</v>
      </c>
      <c r="C117" s="1" t="s">
        <v>6</v>
      </c>
      <c r="D117" s="46">
        <f t="shared" si="40"/>
        <v>916400</v>
      </c>
      <c r="E117" s="46">
        <v>41400</v>
      </c>
      <c r="F117" s="46">
        <f>200000-200000</f>
        <v>0</v>
      </c>
      <c r="G117" s="46">
        <f>200000-200000</f>
        <v>0</v>
      </c>
      <c r="H117" s="46">
        <f>200000-200000</f>
        <v>0</v>
      </c>
      <c r="I117" s="46">
        <v>200000</v>
      </c>
      <c r="J117" s="34">
        <v>75000</v>
      </c>
      <c r="K117" s="67">
        <v>200000</v>
      </c>
      <c r="L117" s="46">
        <v>200000</v>
      </c>
      <c r="M117" s="43">
        <v>200000</v>
      </c>
    </row>
    <row r="118" spans="1:13" ht="61.5" customHeight="1" x14ac:dyDescent="0.3">
      <c r="A118" s="21" t="s">
        <v>85</v>
      </c>
      <c r="B118" s="1" t="s">
        <v>23</v>
      </c>
      <c r="C118" s="1" t="s">
        <v>6</v>
      </c>
      <c r="D118" s="46">
        <f t="shared" si="40"/>
        <v>2884107.6</v>
      </c>
      <c r="E118" s="46">
        <v>400000</v>
      </c>
      <c r="F118" s="46">
        <f>400000-388864</f>
        <v>11136</v>
      </c>
      <c r="G118" s="46">
        <v>400000</v>
      </c>
      <c r="H118" s="46">
        <v>0</v>
      </c>
      <c r="I118" s="46">
        <v>400000</v>
      </c>
      <c r="J118" s="34">
        <v>472971.6</v>
      </c>
      <c r="K118" s="67">
        <v>400000</v>
      </c>
      <c r="L118" s="46">
        <v>400000</v>
      </c>
      <c r="M118" s="43">
        <v>400000</v>
      </c>
    </row>
    <row r="119" spans="1:13" ht="135" customHeight="1" x14ac:dyDescent="0.3">
      <c r="A119" s="21" t="s">
        <v>86</v>
      </c>
      <c r="B119" s="1" t="s">
        <v>26</v>
      </c>
      <c r="C119" s="1" t="s">
        <v>6</v>
      </c>
      <c r="D119" s="46">
        <f t="shared" si="40"/>
        <v>1461178.17</v>
      </c>
      <c r="E119" s="46">
        <v>500000</v>
      </c>
      <c r="F119" s="46">
        <f>500000+500000-38821.83</f>
        <v>961178.17</v>
      </c>
      <c r="G119" s="46">
        <v>0</v>
      </c>
      <c r="H119" s="46">
        <v>0</v>
      </c>
      <c r="I119" s="46">
        <v>0</v>
      </c>
      <c r="J119" s="34">
        <v>0</v>
      </c>
      <c r="K119" s="67">
        <v>0</v>
      </c>
      <c r="L119" s="46">
        <v>0</v>
      </c>
      <c r="M119" s="43">
        <v>0</v>
      </c>
    </row>
    <row r="120" spans="1:13" ht="96.75" customHeight="1" x14ac:dyDescent="0.3">
      <c r="A120" s="21" t="s">
        <v>87</v>
      </c>
      <c r="B120" s="1" t="s">
        <v>26</v>
      </c>
      <c r="C120" s="1" t="s">
        <v>6</v>
      </c>
      <c r="D120" s="46">
        <f t="shared" si="40"/>
        <v>0</v>
      </c>
      <c r="E120" s="46">
        <v>0</v>
      </c>
      <c r="F120" s="46">
        <v>0</v>
      </c>
      <c r="G120" s="46">
        <f>1000000-893457.15-106542.85</f>
        <v>0</v>
      </c>
      <c r="H120" s="46">
        <f>291867.39-200000-46471.97-45395.42</f>
        <v>0</v>
      </c>
      <c r="I120" s="46">
        <v>0</v>
      </c>
      <c r="J120" s="34">
        <v>0</v>
      </c>
      <c r="K120" s="67">
        <v>0</v>
      </c>
      <c r="L120" s="46">
        <v>0</v>
      </c>
      <c r="M120" s="43">
        <v>0</v>
      </c>
    </row>
    <row r="121" spans="1:13" ht="63" customHeight="1" x14ac:dyDescent="0.3">
      <c r="A121" s="20" t="s">
        <v>35</v>
      </c>
      <c r="B121" s="40" t="s">
        <v>33</v>
      </c>
      <c r="C121" s="40" t="s">
        <v>6</v>
      </c>
      <c r="D121" s="46">
        <f t="shared" si="40"/>
        <v>155103068.85999998</v>
      </c>
      <c r="E121" s="46">
        <v>0</v>
      </c>
      <c r="F121" s="46">
        <f>14783926.1-257109.98+212100</f>
        <v>14738916.119999999</v>
      </c>
      <c r="G121" s="46">
        <f>14634937.12+2072456.59</f>
        <v>16707393.709999999</v>
      </c>
      <c r="H121" s="46">
        <f>1037186.46+12917187.64+3000000+83943.2+14527.5</f>
        <v>17052844.800000001</v>
      </c>
      <c r="I121" s="46">
        <v>21123612.34</v>
      </c>
      <c r="J121" s="34">
        <f>21860209.27-12404.09-183208.99</f>
        <v>21664596.190000001</v>
      </c>
      <c r="K121" s="67">
        <f>22522087.08+800000-108000</f>
        <v>23214087.079999998</v>
      </c>
      <c r="L121" s="46">
        <v>20300809.309999999</v>
      </c>
      <c r="M121" s="43">
        <v>20300809.309999999</v>
      </c>
    </row>
    <row r="122" spans="1:13" ht="66.75" customHeight="1" x14ac:dyDescent="0.3">
      <c r="A122" s="21" t="s">
        <v>34</v>
      </c>
      <c r="B122" s="1" t="s">
        <v>11</v>
      </c>
      <c r="C122" s="1" t="s">
        <v>6</v>
      </c>
      <c r="D122" s="46">
        <f t="shared" si="40"/>
        <v>529785816.10000002</v>
      </c>
      <c r="E122" s="46">
        <v>0</v>
      </c>
      <c r="F122" s="46">
        <f>48986954.7+80850+4995-300000</f>
        <v>48772799.700000003</v>
      </c>
      <c r="G122" s="46">
        <f>50088504.84+368984.35+248277.97</f>
        <v>50705767.160000004</v>
      </c>
      <c r="H122" s="46">
        <f>4898054.83+45538092.4+9000000+1509183.43</f>
        <v>60945330.659999996</v>
      </c>
      <c r="I122" s="46">
        <v>68956609.599999994</v>
      </c>
      <c r="J122" s="34">
        <f>75573044.26-819579.89</f>
        <v>74753464.370000005</v>
      </c>
      <c r="K122" s="67">
        <f>87451844.61+200000</f>
        <v>87651844.609999999</v>
      </c>
      <c r="L122" s="46">
        <v>69000000</v>
      </c>
      <c r="M122" s="43">
        <v>69000000</v>
      </c>
    </row>
    <row r="123" spans="1:13" ht="38.85" customHeight="1" x14ac:dyDescent="0.3">
      <c r="A123" s="116" t="s">
        <v>36</v>
      </c>
      <c r="B123" s="94" t="s">
        <v>9</v>
      </c>
      <c r="C123" s="1" t="s">
        <v>17</v>
      </c>
      <c r="D123" s="46">
        <f>D124+D125</f>
        <v>32967034</v>
      </c>
      <c r="E123" s="46">
        <f t="shared" ref="E123:M123" si="41">E124+E125</f>
        <v>0</v>
      </c>
      <c r="F123" s="46">
        <f t="shared" si="41"/>
        <v>0</v>
      </c>
      <c r="G123" s="46">
        <f t="shared" si="41"/>
        <v>0</v>
      </c>
      <c r="H123" s="46">
        <f t="shared" si="41"/>
        <v>0</v>
      </c>
      <c r="I123" s="46">
        <f t="shared" si="41"/>
        <v>0</v>
      </c>
      <c r="J123" s="34">
        <f t="shared" si="41"/>
        <v>0</v>
      </c>
      <c r="K123" s="67">
        <f t="shared" si="41"/>
        <v>0</v>
      </c>
      <c r="L123" s="46">
        <f t="shared" si="41"/>
        <v>16483517</v>
      </c>
      <c r="M123" s="43">
        <f t="shared" si="41"/>
        <v>16483517</v>
      </c>
    </row>
    <row r="124" spans="1:13" ht="38.85" customHeight="1" x14ac:dyDescent="0.3">
      <c r="A124" s="117"/>
      <c r="B124" s="95"/>
      <c r="C124" s="40" t="s">
        <v>6</v>
      </c>
      <c r="D124" s="46">
        <f>SUM(E124:M124)</f>
        <v>2967034</v>
      </c>
      <c r="E124" s="46">
        <v>0</v>
      </c>
      <c r="F124" s="46">
        <v>0</v>
      </c>
      <c r="G124" s="46">
        <v>0</v>
      </c>
      <c r="H124" s="46">
        <v>0</v>
      </c>
      <c r="I124" s="46">
        <v>0</v>
      </c>
      <c r="J124" s="34">
        <f>1853933-1853933</f>
        <v>0</v>
      </c>
      <c r="K124" s="67">
        <v>0</v>
      </c>
      <c r="L124" s="46">
        <v>1483517</v>
      </c>
      <c r="M124" s="43">
        <v>1483517</v>
      </c>
    </row>
    <row r="125" spans="1:13" ht="38.85" customHeight="1" x14ac:dyDescent="0.3">
      <c r="A125" s="118"/>
      <c r="B125" s="96"/>
      <c r="C125" s="40" t="s">
        <v>27</v>
      </c>
      <c r="D125" s="46">
        <f>SUM(E125:M125)</f>
        <v>30000000</v>
      </c>
      <c r="E125" s="46">
        <v>0</v>
      </c>
      <c r="F125" s="46">
        <v>0</v>
      </c>
      <c r="G125" s="46">
        <v>0</v>
      </c>
      <c r="H125" s="46">
        <v>0</v>
      </c>
      <c r="I125" s="46">
        <v>0</v>
      </c>
      <c r="J125" s="34">
        <f>15000000-15000000</f>
        <v>0</v>
      </c>
      <c r="K125" s="67">
        <v>0</v>
      </c>
      <c r="L125" s="46">
        <v>15000000</v>
      </c>
      <c r="M125" s="43">
        <v>15000000</v>
      </c>
    </row>
    <row r="126" spans="1:13" ht="58.5" customHeight="1" x14ac:dyDescent="0.3">
      <c r="A126" s="20" t="s">
        <v>88</v>
      </c>
      <c r="B126" s="40" t="s">
        <v>23</v>
      </c>
      <c r="C126" s="40" t="s">
        <v>6</v>
      </c>
      <c r="D126" s="46">
        <f>SUM(E126:M126)</f>
        <v>36000</v>
      </c>
      <c r="E126" s="46">
        <v>0</v>
      </c>
      <c r="F126" s="46">
        <v>36000</v>
      </c>
      <c r="G126" s="46">
        <v>0</v>
      </c>
      <c r="H126" s="46">
        <v>0</v>
      </c>
      <c r="I126" s="46">
        <v>0</v>
      </c>
      <c r="J126" s="34">
        <v>0</v>
      </c>
      <c r="K126" s="67">
        <v>0</v>
      </c>
      <c r="L126" s="46">
        <v>0</v>
      </c>
      <c r="M126" s="43">
        <v>0</v>
      </c>
    </row>
    <row r="127" spans="1:13" ht="116.25" customHeight="1" x14ac:dyDescent="0.3">
      <c r="A127" s="21" t="s">
        <v>89</v>
      </c>
      <c r="B127" s="1" t="s">
        <v>26</v>
      </c>
      <c r="C127" s="1" t="s">
        <v>6</v>
      </c>
      <c r="D127" s="46">
        <f>SUM(E127:M127)</f>
        <v>2000000</v>
      </c>
      <c r="E127" s="46">
        <v>0</v>
      </c>
      <c r="F127" s="46">
        <v>2000000</v>
      </c>
      <c r="G127" s="46">
        <v>0</v>
      </c>
      <c r="H127" s="46">
        <v>0</v>
      </c>
      <c r="I127" s="46">
        <v>0</v>
      </c>
      <c r="J127" s="34">
        <v>0</v>
      </c>
      <c r="K127" s="67">
        <v>0</v>
      </c>
      <c r="L127" s="46">
        <v>0</v>
      </c>
      <c r="M127" s="43">
        <v>0</v>
      </c>
    </row>
    <row r="128" spans="1:13" ht="60" customHeight="1" x14ac:dyDescent="0.3">
      <c r="A128" s="116" t="s">
        <v>90</v>
      </c>
      <c r="B128" s="94" t="s">
        <v>9</v>
      </c>
      <c r="C128" s="40" t="s">
        <v>17</v>
      </c>
      <c r="D128" s="46">
        <f>D129+D130</f>
        <v>7347391.6299999999</v>
      </c>
      <c r="E128" s="46">
        <f t="shared" ref="E128:M128" si="42">E129+E130</f>
        <v>0</v>
      </c>
      <c r="F128" s="46">
        <f t="shared" si="42"/>
        <v>7347391.6299999999</v>
      </c>
      <c r="G128" s="46">
        <f t="shared" si="42"/>
        <v>0</v>
      </c>
      <c r="H128" s="46">
        <f t="shared" si="42"/>
        <v>0</v>
      </c>
      <c r="I128" s="46">
        <f t="shared" si="42"/>
        <v>0</v>
      </c>
      <c r="J128" s="34">
        <f t="shared" si="42"/>
        <v>0</v>
      </c>
      <c r="K128" s="67">
        <f t="shared" si="42"/>
        <v>0</v>
      </c>
      <c r="L128" s="46">
        <f t="shared" si="42"/>
        <v>0</v>
      </c>
      <c r="M128" s="43">
        <f t="shared" si="42"/>
        <v>0</v>
      </c>
    </row>
    <row r="129" spans="1:494" ht="60" customHeight="1" x14ac:dyDescent="0.3">
      <c r="A129" s="117"/>
      <c r="B129" s="95"/>
      <c r="C129" s="40" t="s">
        <v>6</v>
      </c>
      <c r="D129" s="46">
        <f>SUM(E129:M129)</f>
        <v>525362.32999999996</v>
      </c>
      <c r="E129" s="46">
        <v>0</v>
      </c>
      <c r="F129" s="46">
        <f>300000+225362.33</f>
        <v>525362.32999999996</v>
      </c>
      <c r="G129" s="46">
        <v>0</v>
      </c>
      <c r="H129" s="46">
        <v>0</v>
      </c>
      <c r="I129" s="46">
        <v>0</v>
      </c>
      <c r="J129" s="34">
        <v>0</v>
      </c>
      <c r="K129" s="67">
        <v>0</v>
      </c>
      <c r="L129" s="46">
        <v>0</v>
      </c>
      <c r="M129" s="43">
        <v>0</v>
      </c>
    </row>
    <row r="130" spans="1:494" ht="51" customHeight="1" x14ac:dyDescent="0.3">
      <c r="A130" s="118"/>
      <c r="B130" s="96"/>
      <c r="C130" s="40" t="s">
        <v>27</v>
      </c>
      <c r="D130" s="46">
        <f>SUM(E130:M130)</f>
        <v>6822029.2999999998</v>
      </c>
      <c r="E130" s="46">
        <v>0</v>
      </c>
      <c r="F130" s="46">
        <v>6822029.2999999998</v>
      </c>
      <c r="G130" s="46">
        <v>0</v>
      </c>
      <c r="H130" s="46">
        <v>0</v>
      </c>
      <c r="I130" s="46">
        <v>0</v>
      </c>
      <c r="J130" s="34">
        <v>0</v>
      </c>
      <c r="K130" s="67">
        <v>0</v>
      </c>
      <c r="L130" s="46">
        <v>0</v>
      </c>
      <c r="M130" s="43">
        <v>0</v>
      </c>
    </row>
    <row r="131" spans="1:494" ht="409.6" customHeight="1" x14ac:dyDescent="0.3">
      <c r="A131" s="113" t="s">
        <v>91</v>
      </c>
      <c r="B131" s="76" t="s">
        <v>59</v>
      </c>
      <c r="C131" s="76" t="s">
        <v>17</v>
      </c>
      <c r="D131" s="129">
        <f>D133+D134+D135+D136+D137+D138+D139+D140+D141</f>
        <v>9495200</v>
      </c>
      <c r="E131" s="129">
        <f t="shared" ref="E131:L131" si="43">E133+E134+E135+E136+E137+E138+E139+E140+E141</f>
        <v>0</v>
      </c>
      <c r="F131" s="129">
        <f t="shared" si="43"/>
        <v>0</v>
      </c>
      <c r="G131" s="129">
        <f t="shared" si="43"/>
        <v>4237300</v>
      </c>
      <c r="H131" s="129">
        <f t="shared" si="43"/>
        <v>0</v>
      </c>
      <c r="I131" s="129">
        <f t="shared" si="43"/>
        <v>5257900</v>
      </c>
      <c r="J131" s="104">
        <f t="shared" si="43"/>
        <v>0</v>
      </c>
      <c r="K131" s="103">
        <f t="shared" si="43"/>
        <v>0</v>
      </c>
      <c r="L131" s="112">
        <f t="shared" si="43"/>
        <v>0</v>
      </c>
      <c r="M131" s="123">
        <f t="shared" ref="M131" si="44">M133+M134+M135+M136+M137+M138+M139+M140+M141</f>
        <v>0</v>
      </c>
    </row>
    <row r="132" spans="1:494" ht="124.95" customHeight="1" x14ac:dyDescent="0.3">
      <c r="A132" s="114"/>
      <c r="B132" s="77"/>
      <c r="C132" s="77"/>
      <c r="D132" s="130"/>
      <c r="E132" s="130"/>
      <c r="F132" s="130"/>
      <c r="G132" s="130"/>
      <c r="H132" s="130"/>
      <c r="I132" s="130"/>
      <c r="J132" s="105"/>
      <c r="K132" s="103"/>
      <c r="L132" s="112"/>
      <c r="M132" s="123"/>
    </row>
    <row r="133" spans="1:494" ht="42.75" customHeight="1" x14ac:dyDescent="0.3">
      <c r="A133" s="114"/>
      <c r="B133" s="2" t="s">
        <v>9</v>
      </c>
      <c r="C133" s="2" t="s">
        <v>27</v>
      </c>
      <c r="D133" s="46">
        <f t="shared" ref="D133:D150" si="45">SUM(E133:M133)</f>
        <v>5178168.42</v>
      </c>
      <c r="E133" s="46">
        <v>0</v>
      </c>
      <c r="F133" s="46">
        <v>0</v>
      </c>
      <c r="G133" s="46">
        <v>3069154.04</v>
      </c>
      <c r="H133" s="46">
        <v>0</v>
      </c>
      <c r="I133" s="46">
        <v>2109014.38</v>
      </c>
      <c r="J133" s="34">
        <v>0</v>
      </c>
      <c r="K133" s="67">
        <v>0</v>
      </c>
      <c r="L133" s="46">
        <v>0</v>
      </c>
      <c r="M133" s="43">
        <v>0</v>
      </c>
    </row>
    <row r="134" spans="1:494" ht="79.95" customHeight="1" x14ac:dyDescent="0.3">
      <c r="A134" s="114"/>
      <c r="B134" s="2" t="s">
        <v>58</v>
      </c>
      <c r="C134" s="2" t="s">
        <v>27</v>
      </c>
      <c r="D134" s="46">
        <f t="shared" si="45"/>
        <v>680053.95</v>
      </c>
      <c r="E134" s="46">
        <v>0</v>
      </c>
      <c r="F134" s="46">
        <v>0</v>
      </c>
      <c r="G134" s="46">
        <v>585315.48</v>
      </c>
      <c r="H134" s="46">
        <v>0</v>
      </c>
      <c r="I134" s="46">
        <v>94738.47</v>
      </c>
      <c r="J134" s="34">
        <v>0</v>
      </c>
      <c r="K134" s="67">
        <v>0</v>
      </c>
      <c r="L134" s="46">
        <v>0</v>
      </c>
      <c r="M134" s="43">
        <v>0</v>
      </c>
    </row>
    <row r="135" spans="1:494" ht="99" customHeight="1" x14ac:dyDescent="0.3">
      <c r="A135" s="114"/>
      <c r="B135" s="2" t="s">
        <v>29</v>
      </c>
      <c r="C135" s="2" t="s">
        <v>27</v>
      </c>
      <c r="D135" s="46">
        <f t="shared" si="45"/>
        <v>677568.95</v>
      </c>
      <c r="E135" s="46">
        <v>0</v>
      </c>
      <c r="F135" s="46">
        <v>0</v>
      </c>
      <c r="G135" s="46">
        <v>582830.48</v>
      </c>
      <c r="H135" s="46">
        <v>0</v>
      </c>
      <c r="I135" s="46">
        <v>94738.47</v>
      </c>
      <c r="J135" s="34">
        <v>0</v>
      </c>
      <c r="K135" s="67">
        <v>0</v>
      </c>
      <c r="L135" s="46">
        <v>0</v>
      </c>
      <c r="M135" s="43">
        <v>0</v>
      </c>
    </row>
    <row r="136" spans="1:494" ht="99" customHeight="1" x14ac:dyDescent="0.3">
      <c r="A136" s="114"/>
      <c r="B136" s="2" t="s">
        <v>40</v>
      </c>
      <c r="C136" s="2" t="s">
        <v>27</v>
      </c>
      <c r="D136" s="46">
        <f t="shared" si="45"/>
        <v>814846.39</v>
      </c>
      <c r="E136" s="46">
        <v>0</v>
      </c>
      <c r="F136" s="46">
        <v>0</v>
      </c>
      <c r="G136" s="46">
        <v>0</v>
      </c>
      <c r="H136" s="46">
        <v>0</v>
      </c>
      <c r="I136" s="46">
        <v>814846.39</v>
      </c>
      <c r="J136" s="34">
        <v>0</v>
      </c>
      <c r="K136" s="67">
        <v>0</v>
      </c>
      <c r="L136" s="46">
        <v>0</v>
      </c>
      <c r="M136" s="43">
        <v>0</v>
      </c>
    </row>
    <row r="137" spans="1:494" ht="63.75" customHeight="1" x14ac:dyDescent="0.3">
      <c r="A137" s="114"/>
      <c r="B137" s="2" t="s">
        <v>39</v>
      </c>
      <c r="C137" s="2" t="s">
        <v>27</v>
      </c>
      <c r="D137" s="46">
        <f t="shared" si="45"/>
        <v>623117.82999999996</v>
      </c>
      <c r="E137" s="46">
        <v>0</v>
      </c>
      <c r="F137" s="46">
        <v>0</v>
      </c>
      <c r="G137" s="46">
        <v>0</v>
      </c>
      <c r="H137" s="46">
        <v>0</v>
      </c>
      <c r="I137" s="46">
        <v>623117.82999999996</v>
      </c>
      <c r="J137" s="34">
        <v>0</v>
      </c>
      <c r="K137" s="67">
        <v>0</v>
      </c>
      <c r="L137" s="46">
        <v>0</v>
      </c>
      <c r="M137" s="43">
        <v>0</v>
      </c>
    </row>
    <row r="138" spans="1:494" ht="74.25" customHeight="1" x14ac:dyDescent="0.3">
      <c r="A138" s="114"/>
      <c r="B138" s="2" t="s">
        <v>54</v>
      </c>
      <c r="C138" s="2" t="s">
        <v>27</v>
      </c>
      <c r="D138" s="46">
        <f t="shared" si="45"/>
        <v>479321.4</v>
      </c>
      <c r="E138" s="46">
        <v>0</v>
      </c>
      <c r="F138" s="46">
        <v>0</v>
      </c>
      <c r="G138" s="46">
        <v>0</v>
      </c>
      <c r="H138" s="46">
        <v>0</v>
      </c>
      <c r="I138" s="46">
        <v>479321.4</v>
      </c>
      <c r="J138" s="34">
        <v>0</v>
      </c>
      <c r="K138" s="67">
        <v>0</v>
      </c>
      <c r="L138" s="46">
        <v>0</v>
      </c>
      <c r="M138" s="43">
        <v>0</v>
      </c>
    </row>
    <row r="139" spans="1:494" ht="111" customHeight="1" x14ac:dyDescent="0.3">
      <c r="A139" s="114"/>
      <c r="B139" s="2" t="s">
        <v>55</v>
      </c>
      <c r="C139" s="2" t="s">
        <v>27</v>
      </c>
      <c r="D139" s="46">
        <f t="shared" si="45"/>
        <v>94738.47</v>
      </c>
      <c r="E139" s="46">
        <v>0</v>
      </c>
      <c r="F139" s="46">
        <v>0</v>
      </c>
      <c r="G139" s="46">
        <v>0</v>
      </c>
      <c r="H139" s="46">
        <v>0</v>
      </c>
      <c r="I139" s="46">
        <v>94738.47</v>
      </c>
      <c r="J139" s="34">
        <v>0</v>
      </c>
      <c r="K139" s="67">
        <v>0</v>
      </c>
      <c r="L139" s="46">
        <v>0</v>
      </c>
      <c r="M139" s="43">
        <v>0</v>
      </c>
    </row>
    <row r="140" spans="1:494" ht="111" customHeight="1" x14ac:dyDescent="0.3">
      <c r="A140" s="114"/>
      <c r="B140" s="2" t="s">
        <v>56</v>
      </c>
      <c r="C140" s="2" t="s">
        <v>27</v>
      </c>
      <c r="D140" s="46">
        <f t="shared" si="45"/>
        <v>805276.89</v>
      </c>
      <c r="E140" s="46">
        <v>0</v>
      </c>
      <c r="F140" s="46">
        <v>0</v>
      </c>
      <c r="G140" s="46">
        <v>0</v>
      </c>
      <c r="H140" s="46">
        <v>0</v>
      </c>
      <c r="I140" s="46">
        <v>805276.89</v>
      </c>
      <c r="J140" s="34">
        <v>0</v>
      </c>
      <c r="K140" s="67">
        <v>0</v>
      </c>
      <c r="L140" s="46">
        <v>0</v>
      </c>
      <c r="M140" s="43">
        <v>0</v>
      </c>
    </row>
    <row r="141" spans="1:494" ht="111" customHeight="1" x14ac:dyDescent="0.3">
      <c r="A141" s="115"/>
      <c r="B141" s="2" t="s">
        <v>57</v>
      </c>
      <c r="C141" s="2" t="s">
        <v>27</v>
      </c>
      <c r="D141" s="46">
        <f t="shared" si="45"/>
        <v>142107.70000000001</v>
      </c>
      <c r="E141" s="46">
        <v>0</v>
      </c>
      <c r="F141" s="46">
        <v>0</v>
      </c>
      <c r="G141" s="46">
        <v>0</v>
      </c>
      <c r="H141" s="46">
        <v>0</v>
      </c>
      <c r="I141" s="46">
        <v>142107.70000000001</v>
      </c>
      <c r="J141" s="34">
        <v>0</v>
      </c>
      <c r="K141" s="67">
        <v>0</v>
      </c>
      <c r="L141" s="46">
        <v>0</v>
      </c>
      <c r="M141" s="43">
        <v>0</v>
      </c>
    </row>
    <row r="142" spans="1:494" ht="98.25" customHeight="1" x14ac:dyDescent="0.3">
      <c r="A142" s="22" t="s">
        <v>45</v>
      </c>
      <c r="B142" s="2" t="s">
        <v>44</v>
      </c>
      <c r="C142" s="23" t="s">
        <v>6</v>
      </c>
      <c r="D142" s="46">
        <f t="shared" si="45"/>
        <v>31651049.579999998</v>
      </c>
      <c r="E142" s="46">
        <v>0</v>
      </c>
      <c r="F142" s="46">
        <v>0</v>
      </c>
      <c r="G142" s="46">
        <v>0</v>
      </c>
      <c r="H142" s="46">
        <v>3342102.06</v>
      </c>
      <c r="I142" s="46">
        <v>7923299.8700000001</v>
      </c>
      <c r="J142" s="34">
        <f>9185647.65+2000000</f>
        <v>11185647.65</v>
      </c>
      <c r="K142" s="67">
        <v>9200000</v>
      </c>
      <c r="L142" s="46">
        <v>0</v>
      </c>
      <c r="M142" s="43">
        <v>0</v>
      </c>
      <c r="N142" s="24"/>
      <c r="O142" s="24"/>
      <c r="P142" s="24"/>
      <c r="Q142" s="24"/>
      <c r="R142" s="24"/>
      <c r="S142" s="24"/>
      <c r="T142" s="25"/>
      <c r="U142" s="25"/>
      <c r="V142" s="25"/>
      <c r="W142" s="25"/>
      <c r="X142" s="25"/>
      <c r="Y142" s="25"/>
      <c r="Z142" s="24"/>
      <c r="AA142" s="24"/>
      <c r="AB142" s="24"/>
      <c r="AC142" s="24"/>
      <c r="AD142" s="24"/>
      <c r="AE142" s="24"/>
      <c r="AF142" s="24"/>
      <c r="AG142" s="24"/>
      <c r="AH142" s="25"/>
      <c r="AI142" s="25"/>
      <c r="AJ142" s="25"/>
      <c r="AK142" s="25"/>
      <c r="AL142" s="25"/>
      <c r="AM142" s="25"/>
      <c r="AN142" s="24"/>
      <c r="AO142" s="24"/>
      <c r="AP142" s="24"/>
      <c r="AQ142" s="24"/>
      <c r="AR142" s="24"/>
      <c r="AS142" s="24"/>
      <c r="AT142" s="24"/>
      <c r="AU142" s="24"/>
      <c r="AV142" s="25"/>
      <c r="AW142" s="25"/>
      <c r="AX142" s="25"/>
      <c r="AY142" s="25"/>
      <c r="AZ142" s="25"/>
      <c r="BA142" s="25"/>
      <c r="BB142" s="24"/>
      <c r="BC142" s="24"/>
      <c r="BD142" s="24"/>
      <c r="BE142" s="24"/>
      <c r="BF142" s="24"/>
      <c r="BG142" s="24"/>
      <c r="BH142" s="24"/>
      <c r="BI142" s="24"/>
      <c r="BJ142" s="25"/>
      <c r="BK142" s="25"/>
      <c r="BL142" s="25"/>
      <c r="BM142" s="25"/>
      <c r="BN142" s="25"/>
      <c r="BO142" s="25"/>
      <c r="BP142" s="24"/>
      <c r="BQ142" s="24"/>
      <c r="BR142" s="24"/>
      <c r="BS142" s="24"/>
      <c r="BT142" s="24"/>
      <c r="BU142" s="24"/>
      <c r="BV142" s="24"/>
      <c r="BW142" s="24"/>
      <c r="BX142" s="25"/>
      <c r="BY142" s="25"/>
      <c r="BZ142" s="25"/>
      <c r="CA142" s="25"/>
      <c r="CB142" s="25"/>
      <c r="CC142" s="25"/>
      <c r="CD142" s="24"/>
      <c r="CE142" s="24"/>
      <c r="CF142" s="24"/>
      <c r="CG142" s="24"/>
      <c r="CH142" s="24"/>
      <c r="CI142" s="24"/>
      <c r="CJ142" s="24"/>
      <c r="CK142" s="24"/>
      <c r="CL142" s="25"/>
      <c r="CM142" s="25"/>
      <c r="CN142" s="25"/>
      <c r="CO142" s="25"/>
      <c r="CP142" s="25"/>
      <c r="CQ142" s="25"/>
      <c r="CR142" s="24"/>
      <c r="CS142" s="24"/>
      <c r="CT142" s="24"/>
      <c r="CU142" s="24"/>
      <c r="CV142" s="24"/>
      <c r="CW142" s="24"/>
      <c r="CX142" s="24"/>
      <c r="CY142" s="24"/>
      <c r="CZ142" s="25"/>
      <c r="DA142" s="25"/>
      <c r="DB142" s="25"/>
      <c r="DC142" s="25"/>
      <c r="DD142" s="25"/>
      <c r="DE142" s="25"/>
      <c r="DF142" s="24"/>
      <c r="DG142" s="24"/>
      <c r="DH142" s="24"/>
      <c r="DI142" s="24"/>
      <c r="DJ142" s="24"/>
      <c r="DK142" s="24"/>
      <c r="DL142" s="24"/>
      <c r="DM142" s="24"/>
      <c r="DN142" s="25"/>
      <c r="DO142" s="25"/>
      <c r="DP142" s="25"/>
      <c r="DQ142" s="25"/>
      <c r="DR142" s="25"/>
      <c r="DS142" s="25"/>
      <c r="DT142" s="24"/>
      <c r="DU142" s="24"/>
      <c r="DV142" s="24"/>
      <c r="DW142" s="24"/>
      <c r="DX142" s="24"/>
      <c r="DY142" s="24"/>
      <c r="DZ142" s="24"/>
      <c r="EA142" s="24"/>
      <c r="EB142" s="25"/>
      <c r="EC142" s="25"/>
      <c r="ED142" s="25"/>
      <c r="EE142" s="25"/>
      <c r="EF142" s="25"/>
      <c r="EG142" s="25"/>
      <c r="EH142" s="24"/>
      <c r="EI142" s="24"/>
      <c r="EJ142" s="24"/>
      <c r="EK142" s="24"/>
      <c r="EL142" s="24"/>
      <c r="EM142" s="24"/>
      <c r="EN142" s="24"/>
      <c r="EO142" s="24"/>
      <c r="EP142" s="25"/>
      <c r="EQ142" s="25"/>
      <c r="ER142" s="25"/>
      <c r="ES142" s="25"/>
      <c r="ET142" s="25"/>
      <c r="EU142" s="25"/>
      <c r="EV142" s="24"/>
      <c r="EW142" s="24"/>
      <c r="EX142" s="24"/>
      <c r="EY142" s="24"/>
      <c r="EZ142" s="24"/>
      <c r="FA142" s="24"/>
      <c r="FB142" s="24"/>
      <c r="FC142" s="24"/>
      <c r="FD142" s="25"/>
      <c r="FE142" s="25"/>
      <c r="FF142" s="25"/>
      <c r="FG142" s="25"/>
      <c r="FH142" s="25"/>
      <c r="FI142" s="25"/>
      <c r="FJ142" s="24"/>
      <c r="FK142" s="24"/>
      <c r="FL142" s="24"/>
      <c r="FM142" s="24"/>
      <c r="FN142" s="24"/>
      <c r="FO142" s="24"/>
      <c r="FP142" s="24"/>
      <c r="FQ142" s="24"/>
      <c r="FR142" s="25"/>
      <c r="FS142" s="25"/>
      <c r="FT142" s="25"/>
      <c r="FU142" s="25"/>
      <c r="FV142" s="25"/>
      <c r="FW142" s="25"/>
      <c r="FX142" s="24"/>
      <c r="FY142" s="24"/>
      <c r="FZ142" s="24"/>
      <c r="GA142" s="24"/>
      <c r="GB142" s="24"/>
      <c r="GC142" s="24"/>
      <c r="GD142" s="24"/>
      <c r="GE142" s="24"/>
      <c r="GF142" s="25"/>
      <c r="GG142" s="25"/>
      <c r="GH142" s="25"/>
      <c r="GI142" s="25"/>
      <c r="GJ142" s="25"/>
      <c r="GK142" s="25"/>
      <c r="GL142" s="24"/>
      <c r="GM142" s="24"/>
      <c r="GN142" s="24"/>
      <c r="GO142" s="24"/>
      <c r="GP142" s="24"/>
      <c r="GQ142" s="24"/>
      <c r="GR142" s="24"/>
      <c r="GS142" s="24"/>
      <c r="GT142" s="25"/>
      <c r="GU142" s="25"/>
      <c r="GV142" s="25"/>
      <c r="GW142" s="25"/>
      <c r="GX142" s="25"/>
      <c r="GY142" s="25"/>
      <c r="GZ142" s="24"/>
      <c r="HA142" s="24"/>
      <c r="HB142" s="24"/>
      <c r="HC142" s="24"/>
      <c r="HD142" s="24"/>
      <c r="HE142" s="24"/>
      <c r="HF142" s="24"/>
      <c r="HG142" s="24"/>
      <c r="HH142" s="25"/>
      <c r="HI142" s="25"/>
      <c r="HJ142" s="25"/>
      <c r="HK142" s="25"/>
      <c r="HL142" s="25"/>
      <c r="HM142" s="25"/>
      <c r="HN142" s="24"/>
      <c r="HO142" s="24"/>
      <c r="HP142" s="24"/>
      <c r="HQ142" s="24"/>
      <c r="HR142" s="24"/>
      <c r="HS142" s="24"/>
      <c r="HT142" s="24"/>
      <c r="HU142" s="24"/>
      <c r="HV142" s="25"/>
      <c r="HW142" s="25"/>
      <c r="HX142" s="25"/>
      <c r="HY142" s="25"/>
      <c r="HZ142" s="25"/>
      <c r="IA142" s="25"/>
      <c r="IB142" s="24"/>
      <c r="IC142" s="24"/>
      <c r="ID142" s="24"/>
      <c r="IE142" s="24"/>
      <c r="IF142" s="24"/>
      <c r="IG142" s="24"/>
      <c r="IH142" s="24"/>
      <c r="II142" s="24"/>
      <c r="IJ142" s="25"/>
      <c r="IK142" s="25"/>
      <c r="IL142" s="25"/>
      <c r="IM142" s="25"/>
      <c r="IN142" s="25"/>
      <c r="IO142" s="25"/>
      <c r="IP142" s="24"/>
      <c r="IQ142" s="24"/>
      <c r="IR142" s="24"/>
      <c r="IS142" s="24"/>
      <c r="IT142" s="24"/>
      <c r="IU142" s="24"/>
      <c r="IV142" s="24"/>
      <c r="IW142" s="24"/>
      <c r="IX142" s="25"/>
      <c r="IY142" s="25"/>
      <c r="IZ142" s="25"/>
      <c r="JA142" s="25"/>
      <c r="JB142" s="25"/>
      <c r="JC142" s="25"/>
      <c r="JD142" s="24"/>
      <c r="JE142" s="24"/>
      <c r="JF142" s="24"/>
      <c r="JG142" s="24"/>
      <c r="JH142" s="24"/>
      <c r="JI142" s="24"/>
      <c r="JJ142" s="24"/>
      <c r="JK142" s="24"/>
      <c r="JL142" s="25"/>
      <c r="JM142" s="25"/>
      <c r="JN142" s="25"/>
      <c r="JO142" s="25"/>
      <c r="JP142" s="25"/>
      <c r="JQ142" s="25"/>
      <c r="JR142" s="24"/>
      <c r="JS142" s="24"/>
      <c r="JT142" s="24"/>
      <c r="JU142" s="24"/>
      <c r="JV142" s="24"/>
      <c r="JW142" s="24"/>
      <c r="JX142" s="24"/>
      <c r="JY142" s="24"/>
      <c r="JZ142" s="25"/>
      <c r="KA142" s="25"/>
      <c r="KB142" s="25"/>
      <c r="KC142" s="25"/>
      <c r="KD142" s="25"/>
      <c r="KE142" s="25"/>
      <c r="KF142" s="24"/>
      <c r="KG142" s="24"/>
      <c r="KH142" s="24"/>
      <c r="KI142" s="24"/>
      <c r="KJ142" s="24"/>
      <c r="KK142" s="24"/>
      <c r="KL142" s="24"/>
      <c r="KM142" s="24"/>
      <c r="KN142" s="25"/>
      <c r="KO142" s="25"/>
      <c r="KP142" s="25"/>
      <c r="KQ142" s="25"/>
      <c r="KR142" s="25"/>
      <c r="KS142" s="25"/>
      <c r="KT142" s="24"/>
      <c r="KU142" s="24"/>
      <c r="KV142" s="24"/>
      <c r="KW142" s="24"/>
      <c r="KX142" s="24"/>
      <c r="KY142" s="24"/>
      <c r="KZ142" s="24"/>
      <c r="LA142" s="24"/>
      <c r="LB142" s="25"/>
      <c r="LC142" s="25"/>
      <c r="LD142" s="25"/>
      <c r="LE142" s="25"/>
      <c r="LF142" s="25"/>
      <c r="LG142" s="25"/>
      <c r="LH142" s="24"/>
      <c r="LI142" s="24"/>
      <c r="LJ142" s="24"/>
      <c r="LK142" s="24"/>
      <c r="LL142" s="24"/>
      <c r="LM142" s="24"/>
      <c r="LN142" s="24"/>
      <c r="LO142" s="24"/>
      <c r="LP142" s="25"/>
      <c r="LQ142" s="25"/>
      <c r="LR142" s="25"/>
      <c r="LS142" s="25"/>
      <c r="LT142" s="25"/>
      <c r="LU142" s="25"/>
      <c r="LV142" s="24"/>
      <c r="LW142" s="24"/>
      <c r="LX142" s="24"/>
      <c r="LY142" s="24"/>
      <c r="LZ142" s="24"/>
      <c r="MA142" s="24"/>
      <c r="MB142" s="24"/>
      <c r="MC142" s="24"/>
      <c r="MD142" s="25"/>
      <c r="ME142" s="25"/>
      <c r="MF142" s="25"/>
      <c r="MG142" s="25"/>
      <c r="MH142" s="25"/>
      <c r="MI142" s="25"/>
      <c r="MJ142" s="24"/>
      <c r="MK142" s="24"/>
      <c r="ML142" s="24"/>
      <c r="MM142" s="24"/>
      <c r="MN142" s="24"/>
      <c r="MO142" s="24"/>
      <c r="MP142" s="24"/>
      <c r="MQ142" s="24"/>
      <c r="MR142" s="25"/>
      <c r="MS142" s="25"/>
      <c r="MT142" s="25"/>
      <c r="MU142" s="25"/>
      <c r="MV142" s="25"/>
      <c r="MW142" s="25"/>
      <c r="MX142" s="24"/>
      <c r="MY142" s="24"/>
      <c r="MZ142" s="24"/>
      <c r="NA142" s="24"/>
      <c r="NB142" s="24"/>
      <c r="NC142" s="24"/>
      <c r="ND142" s="24"/>
      <c r="NE142" s="24"/>
      <c r="NF142" s="25"/>
      <c r="NG142" s="25"/>
      <c r="NH142" s="25"/>
      <c r="NI142" s="25"/>
      <c r="NJ142" s="25"/>
      <c r="NK142" s="25"/>
      <c r="NL142" s="24"/>
      <c r="NM142" s="24"/>
      <c r="NN142" s="24"/>
      <c r="NO142" s="24"/>
      <c r="NP142" s="24"/>
      <c r="NQ142" s="24"/>
      <c r="NR142" s="24"/>
      <c r="NS142" s="24"/>
      <c r="NT142" s="25"/>
      <c r="NU142" s="25"/>
      <c r="NV142" s="25"/>
      <c r="NW142" s="25"/>
      <c r="NX142" s="25"/>
      <c r="NY142" s="25"/>
      <c r="NZ142" s="24"/>
      <c r="OA142" s="24"/>
      <c r="OB142" s="24"/>
      <c r="OC142" s="24"/>
      <c r="OD142" s="24"/>
      <c r="OE142" s="24"/>
      <c r="OF142" s="24"/>
      <c r="OG142" s="24"/>
      <c r="OH142" s="25"/>
      <c r="OI142" s="25"/>
      <c r="OJ142" s="25"/>
      <c r="OK142" s="25"/>
      <c r="OL142" s="25"/>
      <c r="OM142" s="25"/>
      <c r="ON142" s="24"/>
      <c r="OO142" s="24"/>
      <c r="OP142" s="24"/>
      <c r="OQ142" s="24"/>
      <c r="OR142" s="24"/>
      <c r="OS142" s="24"/>
      <c r="OT142" s="24"/>
      <c r="OU142" s="24"/>
      <c r="OV142" s="25"/>
      <c r="OW142" s="25"/>
      <c r="OX142" s="25"/>
      <c r="OY142" s="25"/>
      <c r="OZ142" s="25"/>
      <c r="PA142" s="25"/>
      <c r="PB142" s="24"/>
      <c r="PC142" s="24"/>
      <c r="PD142" s="24"/>
      <c r="PE142" s="24"/>
      <c r="PF142" s="24"/>
      <c r="PG142" s="24"/>
      <c r="PH142" s="24"/>
      <c r="PI142" s="24"/>
      <c r="PJ142" s="25"/>
      <c r="PK142" s="25"/>
      <c r="PL142" s="25"/>
      <c r="PM142" s="25"/>
      <c r="PN142" s="25"/>
      <c r="PO142" s="25"/>
      <c r="PP142" s="24"/>
      <c r="PQ142" s="24"/>
      <c r="PR142" s="24"/>
      <c r="PS142" s="24"/>
      <c r="PT142" s="24"/>
      <c r="PU142" s="24"/>
      <c r="PV142" s="24"/>
      <c r="PW142" s="24"/>
      <c r="PX142" s="25"/>
      <c r="PY142" s="25"/>
      <c r="PZ142" s="25"/>
      <c r="QA142" s="25"/>
      <c r="QB142" s="25"/>
      <c r="QC142" s="25"/>
      <c r="QD142" s="24"/>
      <c r="QE142" s="24"/>
      <c r="QF142" s="24"/>
      <c r="QG142" s="24"/>
      <c r="QH142" s="24"/>
      <c r="QI142" s="24"/>
      <c r="QJ142" s="24"/>
      <c r="QK142" s="24"/>
      <c r="QL142" s="25"/>
      <c r="QM142" s="25"/>
      <c r="QN142" s="25"/>
      <c r="QO142" s="25"/>
      <c r="QP142" s="25"/>
      <c r="QQ142" s="25"/>
      <c r="QR142" s="24"/>
      <c r="QS142" s="24"/>
      <c r="QT142" s="24"/>
      <c r="QU142" s="24"/>
      <c r="QV142" s="24"/>
      <c r="QW142" s="24"/>
      <c r="QX142" s="24"/>
      <c r="QY142" s="24"/>
      <c r="QZ142" s="25"/>
      <c r="RA142" s="25"/>
      <c r="RB142" s="25"/>
      <c r="RC142" s="25"/>
      <c r="RD142" s="25"/>
      <c r="RE142" s="25"/>
      <c r="RF142" s="24"/>
      <c r="RG142" s="24"/>
      <c r="RH142" s="24"/>
      <c r="RI142" s="24"/>
      <c r="RJ142" s="24"/>
      <c r="RK142" s="24"/>
      <c r="RL142" s="24"/>
      <c r="RM142" s="24"/>
      <c r="RN142" s="25"/>
      <c r="RO142" s="25"/>
      <c r="RP142" s="25"/>
      <c r="RQ142" s="25"/>
      <c r="RR142" s="25"/>
      <c r="RS142" s="25"/>
      <c r="RT142" s="24"/>
      <c r="RU142" s="24"/>
      <c r="RV142" s="24"/>
      <c r="RW142" s="24"/>
      <c r="RX142" s="24"/>
      <c r="RY142" s="24"/>
      <c r="RZ142" s="24"/>
    </row>
    <row r="143" spans="1:494" ht="80.25" customHeight="1" thickBot="1" x14ac:dyDescent="0.35">
      <c r="A143" s="39" t="s">
        <v>48</v>
      </c>
      <c r="B143" s="38" t="s">
        <v>54</v>
      </c>
      <c r="C143" s="38" t="s">
        <v>6</v>
      </c>
      <c r="D143" s="46">
        <f t="shared" si="45"/>
        <v>192173947.34999999</v>
      </c>
      <c r="E143" s="46">
        <v>0</v>
      </c>
      <c r="F143" s="46">
        <v>0</v>
      </c>
      <c r="G143" s="46">
        <v>0</v>
      </c>
      <c r="H143" s="46">
        <v>0</v>
      </c>
      <c r="I143" s="46">
        <v>31472560.379999999</v>
      </c>
      <c r="J143" s="34">
        <v>36818802.090000004</v>
      </c>
      <c r="K143" s="67">
        <f>41152725.43+410846.83+12500+1061.76</f>
        <v>41577134.019999996</v>
      </c>
      <c r="L143" s="46">
        <v>41152725.43</v>
      </c>
      <c r="M143" s="46">
        <v>41152725.43</v>
      </c>
      <c r="N143" s="24"/>
      <c r="O143" s="24"/>
      <c r="P143" s="24"/>
      <c r="Q143" s="24"/>
      <c r="R143" s="24"/>
      <c r="S143" s="24"/>
      <c r="T143" s="25"/>
      <c r="U143" s="25"/>
      <c r="V143" s="25"/>
      <c r="W143" s="25"/>
      <c r="X143" s="25"/>
      <c r="Y143" s="25"/>
      <c r="Z143" s="24"/>
      <c r="AA143" s="24"/>
      <c r="AB143" s="24"/>
      <c r="AC143" s="24"/>
      <c r="AD143" s="24"/>
      <c r="AE143" s="24"/>
      <c r="AF143" s="24"/>
      <c r="AG143" s="24"/>
      <c r="AH143" s="25"/>
      <c r="AI143" s="25"/>
      <c r="AJ143" s="25"/>
      <c r="AK143" s="25"/>
      <c r="AL143" s="25"/>
      <c r="AM143" s="25"/>
      <c r="AN143" s="24"/>
      <c r="AO143" s="24"/>
      <c r="AP143" s="24"/>
      <c r="AQ143" s="24"/>
      <c r="AR143" s="24"/>
      <c r="AS143" s="24"/>
      <c r="AT143" s="24"/>
      <c r="AU143" s="24"/>
      <c r="AV143" s="25"/>
      <c r="AW143" s="25"/>
      <c r="AX143" s="25"/>
      <c r="AY143" s="25"/>
      <c r="AZ143" s="25"/>
      <c r="BA143" s="25"/>
      <c r="BB143" s="24"/>
      <c r="BC143" s="24"/>
      <c r="BD143" s="24"/>
      <c r="BE143" s="24"/>
      <c r="BF143" s="24"/>
      <c r="BG143" s="24"/>
      <c r="BH143" s="24"/>
      <c r="BI143" s="24"/>
      <c r="BJ143" s="25"/>
      <c r="BK143" s="25"/>
      <c r="BL143" s="25"/>
      <c r="BM143" s="25"/>
      <c r="BN143" s="25"/>
      <c r="BO143" s="25"/>
      <c r="BP143" s="24"/>
      <c r="BQ143" s="24"/>
      <c r="BR143" s="24"/>
      <c r="BS143" s="24"/>
      <c r="BT143" s="24"/>
      <c r="BU143" s="24"/>
      <c r="BV143" s="24"/>
      <c r="BW143" s="24"/>
      <c r="BX143" s="25"/>
      <c r="BY143" s="25"/>
      <c r="BZ143" s="25"/>
      <c r="CA143" s="25"/>
      <c r="CB143" s="25"/>
      <c r="CC143" s="25"/>
      <c r="CD143" s="24"/>
      <c r="CE143" s="24"/>
      <c r="CF143" s="24"/>
      <c r="CG143" s="24"/>
      <c r="CH143" s="24"/>
      <c r="CI143" s="24"/>
      <c r="CJ143" s="24"/>
      <c r="CK143" s="24"/>
      <c r="CL143" s="25"/>
      <c r="CM143" s="25"/>
      <c r="CN143" s="25"/>
      <c r="CO143" s="25"/>
      <c r="CP143" s="25"/>
      <c r="CQ143" s="25"/>
      <c r="CR143" s="24"/>
      <c r="CS143" s="24"/>
      <c r="CT143" s="24"/>
      <c r="CU143" s="24"/>
      <c r="CV143" s="24"/>
      <c r="CW143" s="24"/>
      <c r="CX143" s="24"/>
      <c r="CY143" s="24"/>
      <c r="CZ143" s="25"/>
      <c r="DA143" s="25"/>
      <c r="DB143" s="25"/>
      <c r="DC143" s="25"/>
      <c r="DD143" s="25"/>
      <c r="DE143" s="25"/>
      <c r="DF143" s="24"/>
      <c r="DG143" s="24"/>
      <c r="DH143" s="24"/>
      <c r="DI143" s="24"/>
      <c r="DJ143" s="24"/>
      <c r="DK143" s="24"/>
      <c r="DL143" s="24"/>
      <c r="DM143" s="24"/>
      <c r="DN143" s="25"/>
      <c r="DO143" s="25"/>
      <c r="DP143" s="25"/>
      <c r="DQ143" s="25"/>
      <c r="DR143" s="25"/>
      <c r="DS143" s="25"/>
      <c r="DT143" s="24"/>
      <c r="DU143" s="24"/>
      <c r="DV143" s="24"/>
      <c r="DW143" s="24"/>
      <c r="DX143" s="24"/>
      <c r="DY143" s="24"/>
      <c r="DZ143" s="24"/>
      <c r="EA143" s="24"/>
      <c r="EB143" s="25"/>
      <c r="EC143" s="25"/>
      <c r="ED143" s="25"/>
      <c r="EE143" s="25"/>
      <c r="EF143" s="25"/>
      <c r="EG143" s="25"/>
      <c r="EH143" s="24"/>
      <c r="EI143" s="24"/>
      <c r="EJ143" s="24"/>
      <c r="EK143" s="24"/>
      <c r="EL143" s="24"/>
      <c r="EM143" s="24"/>
      <c r="EN143" s="24"/>
      <c r="EO143" s="24"/>
      <c r="EP143" s="25"/>
      <c r="EQ143" s="25"/>
      <c r="ER143" s="25"/>
      <c r="ES143" s="25"/>
      <c r="ET143" s="25"/>
      <c r="EU143" s="25"/>
      <c r="EV143" s="24"/>
      <c r="EW143" s="24"/>
      <c r="EX143" s="24"/>
      <c r="EY143" s="24"/>
      <c r="EZ143" s="24"/>
      <c r="FA143" s="24"/>
      <c r="FB143" s="24"/>
      <c r="FC143" s="24"/>
      <c r="FD143" s="25"/>
      <c r="FE143" s="25"/>
      <c r="FF143" s="25"/>
      <c r="FG143" s="25"/>
      <c r="FH143" s="25"/>
      <c r="FI143" s="25"/>
      <c r="FJ143" s="24"/>
      <c r="FK143" s="24"/>
      <c r="FL143" s="24"/>
      <c r="FM143" s="24"/>
      <c r="FN143" s="24"/>
      <c r="FO143" s="24"/>
      <c r="FP143" s="24"/>
      <c r="FQ143" s="24"/>
      <c r="FR143" s="25"/>
      <c r="FS143" s="25"/>
      <c r="FT143" s="25"/>
      <c r="FU143" s="25"/>
      <c r="FV143" s="25"/>
      <c r="FW143" s="25"/>
      <c r="FX143" s="24"/>
      <c r="FY143" s="24"/>
      <c r="FZ143" s="24"/>
      <c r="GA143" s="24"/>
      <c r="GB143" s="24"/>
      <c r="GC143" s="24"/>
      <c r="GD143" s="24"/>
      <c r="GE143" s="24"/>
      <c r="GF143" s="25"/>
      <c r="GG143" s="25"/>
      <c r="GH143" s="25"/>
      <c r="GI143" s="25"/>
      <c r="GJ143" s="25"/>
      <c r="GK143" s="25"/>
      <c r="GL143" s="24"/>
      <c r="GM143" s="24"/>
      <c r="GN143" s="24"/>
      <c r="GO143" s="24"/>
      <c r="GP143" s="24"/>
      <c r="GQ143" s="24"/>
      <c r="GR143" s="24"/>
      <c r="GS143" s="24"/>
      <c r="GT143" s="25"/>
      <c r="GU143" s="25"/>
      <c r="GV143" s="25"/>
      <c r="GW143" s="25"/>
      <c r="GX143" s="25"/>
      <c r="GY143" s="25"/>
      <c r="GZ143" s="24"/>
      <c r="HA143" s="24"/>
      <c r="HB143" s="24"/>
      <c r="HC143" s="24"/>
      <c r="HD143" s="24"/>
      <c r="HE143" s="24"/>
      <c r="HF143" s="24"/>
      <c r="HG143" s="24"/>
      <c r="HH143" s="25"/>
      <c r="HI143" s="25"/>
      <c r="HJ143" s="25"/>
      <c r="HK143" s="25"/>
      <c r="HL143" s="25"/>
      <c r="HM143" s="25"/>
      <c r="HN143" s="24"/>
      <c r="HO143" s="24"/>
      <c r="HP143" s="24"/>
      <c r="HQ143" s="24"/>
      <c r="HR143" s="24"/>
      <c r="HS143" s="24"/>
      <c r="HT143" s="24"/>
      <c r="HU143" s="24"/>
      <c r="HV143" s="25"/>
      <c r="HW143" s="25"/>
      <c r="HX143" s="25"/>
      <c r="HY143" s="25"/>
      <c r="HZ143" s="25"/>
      <c r="IA143" s="25"/>
      <c r="IB143" s="24"/>
      <c r="IC143" s="24"/>
      <c r="ID143" s="24"/>
      <c r="IE143" s="24"/>
      <c r="IF143" s="24"/>
      <c r="IG143" s="24"/>
      <c r="IH143" s="24"/>
      <c r="II143" s="24"/>
      <c r="IJ143" s="25"/>
      <c r="IK143" s="25"/>
      <c r="IL143" s="25"/>
      <c r="IM143" s="25"/>
      <c r="IN143" s="25"/>
      <c r="IO143" s="25"/>
      <c r="IP143" s="24"/>
      <c r="IQ143" s="24"/>
      <c r="IR143" s="24"/>
      <c r="IS143" s="24"/>
      <c r="IT143" s="24"/>
      <c r="IU143" s="24"/>
      <c r="IV143" s="24"/>
      <c r="IW143" s="24"/>
      <c r="IX143" s="25"/>
      <c r="IY143" s="25"/>
      <c r="IZ143" s="25"/>
      <c r="JA143" s="25"/>
      <c r="JB143" s="25"/>
      <c r="JC143" s="25"/>
      <c r="JD143" s="24"/>
      <c r="JE143" s="24"/>
      <c r="JF143" s="24"/>
      <c r="JG143" s="24"/>
      <c r="JH143" s="24"/>
      <c r="JI143" s="24"/>
      <c r="JJ143" s="24"/>
      <c r="JK143" s="24"/>
      <c r="JL143" s="25"/>
      <c r="JM143" s="25"/>
      <c r="JN143" s="25"/>
      <c r="JO143" s="25"/>
      <c r="JP143" s="25"/>
      <c r="JQ143" s="25"/>
      <c r="JR143" s="24"/>
      <c r="JS143" s="24"/>
      <c r="JT143" s="24"/>
      <c r="JU143" s="24"/>
      <c r="JV143" s="24"/>
      <c r="JW143" s="24"/>
      <c r="JX143" s="24"/>
      <c r="JY143" s="24"/>
      <c r="JZ143" s="25"/>
      <c r="KA143" s="25"/>
      <c r="KB143" s="25"/>
      <c r="KC143" s="25"/>
      <c r="KD143" s="25"/>
      <c r="KE143" s="25"/>
      <c r="KF143" s="24"/>
      <c r="KG143" s="24"/>
      <c r="KH143" s="24"/>
      <c r="KI143" s="24"/>
      <c r="KJ143" s="24"/>
      <c r="KK143" s="24"/>
      <c r="KL143" s="24"/>
      <c r="KM143" s="24"/>
      <c r="KN143" s="25"/>
      <c r="KO143" s="25"/>
      <c r="KP143" s="25"/>
      <c r="KQ143" s="25"/>
      <c r="KR143" s="25"/>
      <c r="KS143" s="25"/>
      <c r="KT143" s="24"/>
      <c r="KU143" s="24"/>
      <c r="KV143" s="24"/>
      <c r="KW143" s="24"/>
      <c r="KX143" s="24"/>
      <c r="KY143" s="24"/>
      <c r="KZ143" s="24"/>
      <c r="LA143" s="24"/>
      <c r="LB143" s="25"/>
      <c r="LC143" s="25"/>
      <c r="LD143" s="25"/>
      <c r="LE143" s="25"/>
      <c r="LF143" s="25"/>
      <c r="LG143" s="25"/>
      <c r="LH143" s="24"/>
      <c r="LI143" s="24"/>
      <c r="LJ143" s="24"/>
      <c r="LK143" s="24"/>
      <c r="LL143" s="24"/>
      <c r="LM143" s="24"/>
      <c r="LN143" s="24"/>
      <c r="LO143" s="24"/>
      <c r="LP143" s="25"/>
      <c r="LQ143" s="25"/>
      <c r="LR143" s="25"/>
      <c r="LS143" s="25"/>
      <c r="LT143" s="25"/>
      <c r="LU143" s="25"/>
      <c r="LV143" s="24"/>
      <c r="LW143" s="24"/>
      <c r="LX143" s="24"/>
      <c r="LY143" s="24"/>
      <c r="LZ143" s="24"/>
      <c r="MA143" s="24"/>
      <c r="MB143" s="24"/>
      <c r="MC143" s="24"/>
      <c r="MD143" s="25"/>
      <c r="ME143" s="25"/>
      <c r="MF143" s="25"/>
      <c r="MG143" s="25"/>
      <c r="MH143" s="25"/>
      <c r="MI143" s="25"/>
      <c r="MJ143" s="24"/>
      <c r="MK143" s="24"/>
      <c r="ML143" s="24"/>
      <c r="MM143" s="24"/>
      <c r="MN143" s="24"/>
      <c r="MO143" s="24"/>
      <c r="MP143" s="24"/>
      <c r="MQ143" s="24"/>
      <c r="MR143" s="25"/>
      <c r="MS143" s="25"/>
      <c r="MT143" s="25"/>
      <c r="MU143" s="25"/>
      <c r="MV143" s="25"/>
      <c r="MW143" s="25"/>
      <c r="MX143" s="24"/>
      <c r="MY143" s="24"/>
      <c r="MZ143" s="24"/>
      <c r="NA143" s="24"/>
      <c r="NB143" s="24"/>
      <c r="NC143" s="24"/>
      <c r="ND143" s="24"/>
      <c r="NE143" s="24"/>
      <c r="NF143" s="25"/>
      <c r="NG143" s="25"/>
      <c r="NH143" s="25"/>
      <c r="NI143" s="25"/>
      <c r="NJ143" s="25"/>
      <c r="NK143" s="25"/>
      <c r="NL143" s="24"/>
      <c r="NM143" s="24"/>
      <c r="NN143" s="24"/>
      <c r="NO143" s="24"/>
      <c r="NP143" s="24"/>
      <c r="NQ143" s="24"/>
      <c r="NR143" s="24"/>
      <c r="NS143" s="24"/>
      <c r="NT143" s="25"/>
      <c r="NU143" s="25"/>
      <c r="NV143" s="25"/>
      <c r="NW143" s="25"/>
      <c r="NX143" s="25"/>
      <c r="NY143" s="25"/>
      <c r="NZ143" s="24"/>
      <c r="OA143" s="24"/>
      <c r="OB143" s="24"/>
      <c r="OC143" s="24"/>
      <c r="OD143" s="24"/>
      <c r="OE143" s="24"/>
      <c r="OF143" s="24"/>
      <c r="OG143" s="24"/>
      <c r="OH143" s="25"/>
      <c r="OI143" s="25"/>
      <c r="OJ143" s="25"/>
      <c r="OK143" s="25"/>
      <c r="OL143" s="25"/>
      <c r="OM143" s="25"/>
      <c r="ON143" s="24"/>
      <c r="OO143" s="24"/>
      <c r="OP143" s="24"/>
      <c r="OQ143" s="24"/>
      <c r="OR143" s="24"/>
      <c r="OS143" s="24"/>
      <c r="OT143" s="24"/>
      <c r="OU143" s="24"/>
      <c r="OV143" s="25"/>
      <c r="OW143" s="25"/>
      <c r="OX143" s="25"/>
      <c r="OY143" s="25"/>
      <c r="OZ143" s="25"/>
      <c r="PA143" s="25"/>
      <c r="PB143" s="24"/>
      <c r="PC143" s="24"/>
      <c r="PD143" s="24"/>
      <c r="PE143" s="24"/>
      <c r="PF143" s="24"/>
      <c r="PG143" s="24"/>
      <c r="PH143" s="24"/>
      <c r="PI143" s="24"/>
      <c r="PJ143" s="25"/>
      <c r="PK143" s="25"/>
      <c r="PL143" s="25"/>
      <c r="PM143" s="25"/>
      <c r="PN143" s="25"/>
      <c r="PO143" s="25"/>
      <c r="PP143" s="24"/>
      <c r="PQ143" s="24"/>
      <c r="PR143" s="24"/>
      <c r="PS143" s="24"/>
      <c r="PT143" s="24"/>
      <c r="PU143" s="24"/>
      <c r="PV143" s="24"/>
      <c r="PW143" s="24"/>
      <c r="PX143" s="25"/>
      <c r="PY143" s="25"/>
      <c r="PZ143" s="25"/>
      <c r="QA143" s="25"/>
      <c r="QB143" s="25"/>
      <c r="QC143" s="25"/>
      <c r="QD143" s="24"/>
      <c r="QE143" s="24"/>
      <c r="QF143" s="24"/>
      <c r="QG143" s="24"/>
      <c r="QH143" s="24"/>
      <c r="QI143" s="24"/>
      <c r="QJ143" s="24"/>
      <c r="QK143" s="24"/>
      <c r="QL143" s="25"/>
      <c r="QM143" s="25"/>
      <c r="QN143" s="25"/>
      <c r="QO143" s="25"/>
      <c r="QP143" s="25"/>
      <c r="QQ143" s="25"/>
      <c r="QR143" s="24"/>
      <c r="QS143" s="24"/>
      <c r="QT143" s="24"/>
      <c r="QU143" s="24"/>
      <c r="QV143" s="24"/>
      <c r="QW143" s="24"/>
      <c r="QX143" s="24"/>
      <c r="QY143" s="24"/>
      <c r="QZ143" s="25"/>
      <c r="RA143" s="25"/>
      <c r="RB143" s="25"/>
      <c r="RC143" s="25"/>
      <c r="RD143" s="25"/>
      <c r="RE143" s="25"/>
      <c r="RF143" s="24"/>
      <c r="RG143" s="24"/>
      <c r="RH143" s="24"/>
      <c r="RI143" s="24"/>
      <c r="RJ143" s="24"/>
      <c r="RK143" s="24"/>
      <c r="RL143" s="24"/>
      <c r="RM143" s="24"/>
      <c r="RN143" s="25"/>
      <c r="RO143" s="25"/>
      <c r="RP143" s="25"/>
      <c r="RQ143" s="25"/>
      <c r="RR143" s="25"/>
      <c r="RS143" s="25"/>
      <c r="RT143" s="24"/>
      <c r="RU143" s="24"/>
      <c r="RV143" s="24"/>
      <c r="RW143" s="24"/>
      <c r="RX143" s="24"/>
      <c r="RY143" s="24"/>
      <c r="RZ143" s="24"/>
    </row>
    <row r="144" spans="1:494" ht="50.1" customHeight="1" x14ac:dyDescent="0.3">
      <c r="A144" s="74" t="s">
        <v>47</v>
      </c>
      <c r="B144" s="4" t="s">
        <v>9</v>
      </c>
      <c r="C144" s="4" t="s">
        <v>17</v>
      </c>
      <c r="D144" s="46">
        <f t="shared" si="45"/>
        <v>0</v>
      </c>
      <c r="E144" s="46">
        <v>0</v>
      </c>
      <c r="F144" s="46">
        <v>0</v>
      </c>
      <c r="G144" s="46">
        <v>0</v>
      </c>
      <c r="H144" s="46">
        <v>0</v>
      </c>
      <c r="I144" s="46">
        <v>0</v>
      </c>
      <c r="J144" s="34">
        <v>0</v>
      </c>
      <c r="K144" s="67">
        <v>0</v>
      </c>
      <c r="L144" s="46">
        <v>0</v>
      </c>
      <c r="M144" s="43">
        <v>0</v>
      </c>
      <c r="N144" s="24"/>
      <c r="O144" s="24"/>
      <c r="P144" s="24"/>
      <c r="Q144" s="24"/>
      <c r="R144" s="24"/>
      <c r="S144" s="24"/>
      <c r="T144" s="25"/>
      <c r="U144" s="25"/>
      <c r="V144" s="25"/>
      <c r="W144" s="25"/>
      <c r="X144" s="25"/>
      <c r="Y144" s="25"/>
      <c r="Z144" s="24"/>
      <c r="AA144" s="24"/>
      <c r="AB144" s="24"/>
      <c r="AC144" s="24"/>
      <c r="AD144" s="24"/>
      <c r="AE144" s="24"/>
      <c r="AF144" s="24"/>
      <c r="AG144" s="24"/>
      <c r="AH144" s="25"/>
      <c r="AI144" s="25"/>
      <c r="AJ144" s="25"/>
      <c r="AK144" s="25"/>
      <c r="AL144" s="25"/>
      <c r="AM144" s="25"/>
      <c r="AN144" s="24"/>
      <c r="AO144" s="24"/>
      <c r="AP144" s="24"/>
      <c r="AQ144" s="24"/>
      <c r="AR144" s="24"/>
      <c r="AS144" s="24"/>
      <c r="AT144" s="24"/>
      <c r="AU144" s="24"/>
      <c r="AV144" s="25"/>
      <c r="AW144" s="25"/>
      <c r="AX144" s="25"/>
      <c r="AY144" s="25"/>
      <c r="AZ144" s="25"/>
      <c r="BA144" s="25"/>
      <c r="BB144" s="24"/>
      <c r="BC144" s="24"/>
      <c r="BD144" s="24"/>
      <c r="BE144" s="24"/>
      <c r="BF144" s="24"/>
      <c r="BG144" s="24"/>
      <c r="BH144" s="24"/>
      <c r="BI144" s="24"/>
      <c r="BJ144" s="25"/>
      <c r="BK144" s="25"/>
      <c r="BL144" s="25"/>
      <c r="BM144" s="25"/>
      <c r="BN144" s="25"/>
      <c r="BO144" s="25"/>
      <c r="BP144" s="24"/>
      <c r="BQ144" s="24"/>
      <c r="BR144" s="24"/>
      <c r="BS144" s="24"/>
      <c r="BT144" s="24"/>
      <c r="BU144" s="24"/>
      <c r="BV144" s="24"/>
      <c r="BW144" s="24"/>
      <c r="BX144" s="25"/>
      <c r="BY144" s="25"/>
      <c r="BZ144" s="25"/>
      <c r="CA144" s="25"/>
      <c r="CB144" s="25"/>
      <c r="CC144" s="25"/>
      <c r="CD144" s="24"/>
      <c r="CE144" s="24"/>
      <c r="CF144" s="24"/>
      <c r="CG144" s="24"/>
      <c r="CH144" s="24"/>
      <c r="CI144" s="24"/>
      <c r="CJ144" s="24"/>
      <c r="CK144" s="24"/>
      <c r="CL144" s="25"/>
      <c r="CM144" s="25"/>
      <c r="CN144" s="25"/>
      <c r="CO144" s="25"/>
      <c r="CP144" s="25"/>
      <c r="CQ144" s="25"/>
      <c r="CR144" s="24"/>
      <c r="CS144" s="24"/>
      <c r="CT144" s="24"/>
      <c r="CU144" s="24"/>
      <c r="CV144" s="24"/>
      <c r="CW144" s="24"/>
      <c r="CX144" s="24"/>
      <c r="CY144" s="24"/>
      <c r="CZ144" s="25"/>
      <c r="DA144" s="25"/>
      <c r="DB144" s="25"/>
      <c r="DC144" s="25"/>
      <c r="DD144" s="25"/>
      <c r="DE144" s="25"/>
      <c r="DF144" s="24"/>
      <c r="DG144" s="24"/>
      <c r="DH144" s="24"/>
      <c r="DI144" s="24"/>
      <c r="DJ144" s="24"/>
      <c r="DK144" s="24"/>
      <c r="DL144" s="24"/>
      <c r="DM144" s="24"/>
      <c r="DN144" s="25"/>
      <c r="DO144" s="25"/>
      <c r="DP144" s="25"/>
      <c r="DQ144" s="25"/>
      <c r="DR144" s="25"/>
      <c r="DS144" s="25"/>
      <c r="DT144" s="24"/>
      <c r="DU144" s="24"/>
      <c r="DV144" s="24"/>
      <c r="DW144" s="24"/>
      <c r="DX144" s="24"/>
      <c r="DY144" s="24"/>
      <c r="DZ144" s="24"/>
      <c r="EA144" s="24"/>
      <c r="EB144" s="25"/>
      <c r="EC144" s="25"/>
      <c r="ED144" s="25"/>
      <c r="EE144" s="25"/>
      <c r="EF144" s="25"/>
      <c r="EG144" s="25"/>
      <c r="EH144" s="24"/>
      <c r="EI144" s="24"/>
      <c r="EJ144" s="24"/>
      <c r="EK144" s="24"/>
      <c r="EL144" s="24"/>
      <c r="EM144" s="24"/>
      <c r="EN144" s="24"/>
      <c r="EO144" s="24"/>
      <c r="EP144" s="25"/>
      <c r="EQ144" s="25"/>
      <c r="ER144" s="25"/>
      <c r="ES144" s="25"/>
      <c r="ET144" s="25"/>
      <c r="EU144" s="25"/>
      <c r="EV144" s="24"/>
      <c r="EW144" s="24"/>
      <c r="EX144" s="24"/>
      <c r="EY144" s="24"/>
      <c r="EZ144" s="24"/>
      <c r="FA144" s="24"/>
      <c r="FB144" s="24"/>
      <c r="FC144" s="24"/>
      <c r="FD144" s="25"/>
      <c r="FE144" s="25"/>
      <c r="FF144" s="25"/>
      <c r="FG144" s="25"/>
      <c r="FH144" s="25"/>
      <c r="FI144" s="25"/>
      <c r="FJ144" s="24"/>
      <c r="FK144" s="24"/>
      <c r="FL144" s="24"/>
      <c r="FM144" s="24"/>
      <c r="FN144" s="24"/>
      <c r="FO144" s="24"/>
      <c r="FP144" s="24"/>
      <c r="FQ144" s="24"/>
      <c r="FR144" s="25"/>
      <c r="FS144" s="25"/>
      <c r="FT144" s="25"/>
      <c r="FU144" s="25"/>
      <c r="FV144" s="25"/>
      <c r="FW144" s="25"/>
      <c r="FX144" s="24"/>
      <c r="FY144" s="24"/>
      <c r="FZ144" s="24"/>
      <c r="GA144" s="24"/>
      <c r="GB144" s="24"/>
      <c r="GC144" s="24"/>
      <c r="GD144" s="24"/>
      <c r="GE144" s="24"/>
      <c r="GF144" s="25"/>
      <c r="GG144" s="25"/>
      <c r="GH144" s="25"/>
      <c r="GI144" s="25"/>
      <c r="GJ144" s="25"/>
      <c r="GK144" s="25"/>
      <c r="GL144" s="24"/>
      <c r="GM144" s="24"/>
      <c r="GN144" s="24"/>
      <c r="GO144" s="24"/>
      <c r="GP144" s="24"/>
      <c r="GQ144" s="24"/>
      <c r="GR144" s="24"/>
      <c r="GS144" s="24"/>
      <c r="GT144" s="25"/>
      <c r="GU144" s="25"/>
      <c r="GV144" s="25"/>
      <c r="GW144" s="25"/>
      <c r="GX144" s="25"/>
      <c r="GY144" s="25"/>
      <c r="GZ144" s="24"/>
      <c r="HA144" s="24"/>
      <c r="HB144" s="24"/>
      <c r="HC144" s="24"/>
      <c r="HD144" s="24"/>
      <c r="HE144" s="24"/>
      <c r="HF144" s="24"/>
      <c r="HG144" s="24"/>
      <c r="HH144" s="25"/>
      <c r="HI144" s="25"/>
      <c r="HJ144" s="25"/>
      <c r="HK144" s="25"/>
      <c r="HL144" s="25"/>
      <c r="HM144" s="25"/>
      <c r="HN144" s="24"/>
      <c r="HO144" s="24"/>
      <c r="HP144" s="24"/>
      <c r="HQ144" s="24"/>
      <c r="HR144" s="24"/>
      <c r="HS144" s="24"/>
      <c r="HT144" s="24"/>
      <c r="HU144" s="24"/>
      <c r="HV144" s="25"/>
      <c r="HW144" s="25"/>
      <c r="HX144" s="25"/>
      <c r="HY144" s="25"/>
      <c r="HZ144" s="25"/>
      <c r="IA144" s="25"/>
      <c r="IB144" s="24"/>
      <c r="IC144" s="24"/>
      <c r="ID144" s="24"/>
      <c r="IE144" s="24"/>
      <c r="IF144" s="24"/>
      <c r="IG144" s="24"/>
      <c r="IH144" s="24"/>
      <c r="II144" s="24"/>
      <c r="IJ144" s="25"/>
      <c r="IK144" s="25"/>
      <c r="IL144" s="25"/>
      <c r="IM144" s="25"/>
      <c r="IN144" s="25"/>
      <c r="IO144" s="25"/>
      <c r="IP144" s="24"/>
      <c r="IQ144" s="24"/>
      <c r="IR144" s="24"/>
      <c r="IS144" s="24"/>
      <c r="IT144" s="24"/>
      <c r="IU144" s="24"/>
      <c r="IV144" s="24"/>
      <c r="IW144" s="24"/>
      <c r="IX144" s="25"/>
      <c r="IY144" s="25"/>
      <c r="IZ144" s="25"/>
      <c r="JA144" s="25"/>
      <c r="JB144" s="25"/>
      <c r="JC144" s="25"/>
      <c r="JD144" s="24"/>
      <c r="JE144" s="24"/>
      <c r="JF144" s="24"/>
      <c r="JG144" s="24"/>
      <c r="JH144" s="24"/>
      <c r="JI144" s="24"/>
      <c r="JJ144" s="24"/>
      <c r="JK144" s="24"/>
      <c r="JL144" s="25"/>
      <c r="JM144" s="25"/>
      <c r="JN144" s="25"/>
      <c r="JO144" s="25"/>
      <c r="JP144" s="25"/>
      <c r="JQ144" s="25"/>
      <c r="JR144" s="24"/>
      <c r="JS144" s="24"/>
      <c r="JT144" s="24"/>
      <c r="JU144" s="24"/>
      <c r="JV144" s="24"/>
      <c r="JW144" s="24"/>
      <c r="JX144" s="24"/>
      <c r="JY144" s="24"/>
      <c r="JZ144" s="25"/>
      <c r="KA144" s="25"/>
      <c r="KB144" s="25"/>
      <c r="KC144" s="25"/>
      <c r="KD144" s="25"/>
      <c r="KE144" s="25"/>
      <c r="KF144" s="24"/>
      <c r="KG144" s="24"/>
      <c r="KH144" s="24"/>
      <c r="KI144" s="24"/>
      <c r="KJ144" s="24"/>
      <c r="KK144" s="24"/>
      <c r="KL144" s="24"/>
      <c r="KM144" s="24"/>
      <c r="KN144" s="25"/>
      <c r="KO144" s="25"/>
      <c r="KP144" s="25"/>
      <c r="KQ144" s="25"/>
      <c r="KR144" s="25"/>
      <c r="KS144" s="25"/>
      <c r="KT144" s="24"/>
      <c r="KU144" s="24"/>
      <c r="KV144" s="24"/>
      <c r="KW144" s="24"/>
      <c r="KX144" s="24"/>
      <c r="KY144" s="24"/>
      <c r="KZ144" s="24"/>
      <c r="LA144" s="24"/>
      <c r="LB144" s="25"/>
      <c r="LC144" s="25"/>
      <c r="LD144" s="25"/>
      <c r="LE144" s="25"/>
      <c r="LF144" s="25"/>
      <c r="LG144" s="25"/>
      <c r="LH144" s="24"/>
      <c r="LI144" s="24"/>
      <c r="LJ144" s="24"/>
      <c r="LK144" s="24"/>
      <c r="LL144" s="24"/>
      <c r="LM144" s="24"/>
      <c r="LN144" s="24"/>
      <c r="LO144" s="24"/>
      <c r="LP144" s="25"/>
      <c r="LQ144" s="25"/>
      <c r="LR144" s="25"/>
      <c r="LS144" s="25"/>
      <c r="LT144" s="25"/>
      <c r="LU144" s="25"/>
      <c r="LV144" s="24"/>
      <c r="LW144" s="24"/>
      <c r="LX144" s="24"/>
      <c r="LY144" s="24"/>
      <c r="LZ144" s="24"/>
      <c r="MA144" s="24"/>
      <c r="MB144" s="24"/>
      <c r="MC144" s="24"/>
      <c r="MD144" s="25"/>
      <c r="ME144" s="25"/>
      <c r="MF144" s="25"/>
      <c r="MG144" s="25"/>
      <c r="MH144" s="25"/>
      <c r="MI144" s="25"/>
      <c r="MJ144" s="24"/>
      <c r="MK144" s="24"/>
      <c r="ML144" s="24"/>
      <c r="MM144" s="24"/>
      <c r="MN144" s="24"/>
      <c r="MO144" s="24"/>
      <c r="MP144" s="24"/>
      <c r="MQ144" s="24"/>
      <c r="MR144" s="25"/>
      <c r="MS144" s="25"/>
      <c r="MT144" s="25"/>
      <c r="MU144" s="25"/>
      <c r="MV144" s="25"/>
      <c r="MW144" s="25"/>
      <c r="MX144" s="24"/>
      <c r="MY144" s="24"/>
      <c r="MZ144" s="24"/>
      <c r="NA144" s="24"/>
      <c r="NB144" s="24"/>
      <c r="NC144" s="24"/>
      <c r="ND144" s="24"/>
      <c r="NE144" s="24"/>
      <c r="NF144" s="25"/>
      <c r="NG144" s="25"/>
      <c r="NH144" s="25"/>
      <c r="NI144" s="25"/>
      <c r="NJ144" s="25"/>
      <c r="NK144" s="25"/>
      <c r="NL144" s="24"/>
      <c r="NM144" s="24"/>
      <c r="NN144" s="24"/>
      <c r="NO144" s="24"/>
      <c r="NP144" s="24"/>
      <c r="NQ144" s="24"/>
      <c r="NR144" s="24"/>
      <c r="NS144" s="24"/>
      <c r="NT144" s="25"/>
      <c r="NU144" s="25"/>
      <c r="NV144" s="25"/>
      <c r="NW144" s="25"/>
      <c r="NX144" s="25"/>
      <c r="NY144" s="25"/>
      <c r="NZ144" s="24"/>
      <c r="OA144" s="24"/>
      <c r="OB144" s="24"/>
      <c r="OC144" s="24"/>
      <c r="OD144" s="24"/>
      <c r="OE144" s="24"/>
      <c r="OF144" s="24"/>
      <c r="OG144" s="24"/>
      <c r="OH144" s="25"/>
      <c r="OI144" s="25"/>
      <c r="OJ144" s="25"/>
      <c r="OK144" s="25"/>
      <c r="OL144" s="25"/>
      <c r="OM144" s="25"/>
      <c r="ON144" s="24"/>
      <c r="OO144" s="24"/>
      <c r="OP144" s="24"/>
      <c r="OQ144" s="24"/>
      <c r="OR144" s="24"/>
      <c r="OS144" s="24"/>
      <c r="OT144" s="24"/>
      <c r="OU144" s="24"/>
      <c r="OV144" s="25"/>
      <c r="OW144" s="25"/>
      <c r="OX144" s="25"/>
      <c r="OY144" s="25"/>
      <c r="OZ144" s="25"/>
      <c r="PA144" s="25"/>
      <c r="PB144" s="24"/>
      <c r="PC144" s="24"/>
      <c r="PD144" s="24"/>
      <c r="PE144" s="24"/>
      <c r="PF144" s="24"/>
      <c r="PG144" s="24"/>
      <c r="PH144" s="24"/>
      <c r="PI144" s="24"/>
      <c r="PJ144" s="25"/>
      <c r="PK144" s="25"/>
      <c r="PL144" s="25"/>
      <c r="PM144" s="25"/>
      <c r="PN144" s="25"/>
      <c r="PO144" s="25"/>
      <c r="PP144" s="24"/>
      <c r="PQ144" s="24"/>
      <c r="PR144" s="24"/>
      <c r="PS144" s="24"/>
      <c r="PT144" s="24"/>
      <c r="PU144" s="24"/>
      <c r="PV144" s="24"/>
      <c r="PW144" s="24"/>
      <c r="PX144" s="25"/>
      <c r="PY144" s="25"/>
      <c r="PZ144" s="25"/>
      <c r="QA144" s="25"/>
      <c r="QB144" s="25"/>
      <c r="QC144" s="25"/>
      <c r="QD144" s="24"/>
      <c r="QE144" s="24"/>
      <c r="QF144" s="24"/>
      <c r="QG144" s="24"/>
      <c r="QH144" s="24"/>
      <c r="QI144" s="24"/>
      <c r="QJ144" s="24"/>
      <c r="QK144" s="24"/>
      <c r="QL144" s="25"/>
      <c r="QM144" s="25"/>
      <c r="QN144" s="25"/>
      <c r="QO144" s="25"/>
      <c r="QP144" s="25"/>
      <c r="QQ144" s="25"/>
      <c r="QR144" s="24"/>
      <c r="QS144" s="24"/>
      <c r="QT144" s="24"/>
      <c r="QU144" s="24"/>
      <c r="QV144" s="24"/>
      <c r="QW144" s="24"/>
      <c r="QX144" s="24"/>
      <c r="QY144" s="24"/>
      <c r="QZ144" s="25"/>
      <c r="RA144" s="25"/>
      <c r="RB144" s="25"/>
      <c r="RC144" s="25"/>
      <c r="RD144" s="25"/>
      <c r="RE144" s="25"/>
      <c r="RF144" s="24"/>
      <c r="RG144" s="24"/>
      <c r="RH144" s="24"/>
      <c r="RI144" s="24"/>
      <c r="RJ144" s="24"/>
      <c r="RK144" s="24"/>
      <c r="RL144" s="24"/>
      <c r="RM144" s="24"/>
      <c r="RN144" s="25"/>
      <c r="RO144" s="25"/>
      <c r="RP144" s="25"/>
      <c r="RQ144" s="25"/>
      <c r="RR144" s="25"/>
      <c r="RS144" s="25"/>
      <c r="RT144" s="24"/>
      <c r="RU144" s="24"/>
      <c r="RV144" s="24"/>
      <c r="RW144" s="24"/>
      <c r="RX144" s="24"/>
      <c r="RY144" s="24"/>
      <c r="RZ144" s="24"/>
    </row>
    <row r="145" spans="1:494" ht="50.1" customHeight="1" x14ac:dyDescent="0.3">
      <c r="A145" s="75"/>
      <c r="B145" s="2" t="s">
        <v>9</v>
      </c>
      <c r="C145" s="2" t="s">
        <v>6</v>
      </c>
      <c r="D145" s="46">
        <f t="shared" si="45"/>
        <v>0</v>
      </c>
      <c r="E145" s="46">
        <v>0</v>
      </c>
      <c r="F145" s="46">
        <v>0</v>
      </c>
      <c r="G145" s="46">
        <v>0</v>
      </c>
      <c r="H145" s="46">
        <v>0</v>
      </c>
      <c r="I145" s="46">
        <v>0</v>
      </c>
      <c r="J145" s="34">
        <v>0</v>
      </c>
      <c r="K145" s="67">
        <v>0</v>
      </c>
      <c r="L145" s="46">
        <v>0</v>
      </c>
      <c r="M145" s="43">
        <v>0</v>
      </c>
      <c r="N145" s="24"/>
      <c r="O145" s="24"/>
      <c r="P145" s="24"/>
      <c r="Q145" s="24"/>
      <c r="R145" s="24"/>
      <c r="S145" s="24"/>
      <c r="T145" s="25"/>
      <c r="U145" s="25"/>
      <c r="V145" s="25"/>
      <c r="W145" s="25"/>
      <c r="X145" s="25"/>
      <c r="Y145" s="25"/>
      <c r="Z145" s="24"/>
      <c r="AA145" s="24"/>
      <c r="AB145" s="24"/>
      <c r="AC145" s="24"/>
      <c r="AD145" s="24"/>
      <c r="AE145" s="24"/>
      <c r="AF145" s="24"/>
      <c r="AG145" s="24"/>
      <c r="AH145" s="25"/>
      <c r="AI145" s="25"/>
      <c r="AJ145" s="25"/>
      <c r="AK145" s="25"/>
      <c r="AL145" s="25"/>
      <c r="AM145" s="25"/>
      <c r="AN145" s="24"/>
      <c r="AO145" s="24"/>
      <c r="AP145" s="24"/>
      <c r="AQ145" s="24"/>
      <c r="AR145" s="24"/>
      <c r="AS145" s="24"/>
      <c r="AT145" s="24"/>
      <c r="AU145" s="24"/>
      <c r="AV145" s="25"/>
      <c r="AW145" s="25"/>
      <c r="AX145" s="25"/>
      <c r="AY145" s="25"/>
      <c r="AZ145" s="25"/>
      <c r="BA145" s="25"/>
      <c r="BB145" s="24"/>
      <c r="BC145" s="24"/>
      <c r="BD145" s="24"/>
      <c r="BE145" s="24"/>
      <c r="BF145" s="24"/>
      <c r="BG145" s="24"/>
      <c r="BH145" s="24"/>
      <c r="BI145" s="24"/>
      <c r="BJ145" s="25"/>
      <c r="BK145" s="25"/>
      <c r="BL145" s="25"/>
      <c r="BM145" s="25"/>
      <c r="BN145" s="25"/>
      <c r="BO145" s="25"/>
      <c r="BP145" s="24"/>
      <c r="BQ145" s="24"/>
      <c r="BR145" s="24"/>
      <c r="BS145" s="24"/>
      <c r="BT145" s="24"/>
      <c r="BU145" s="24"/>
      <c r="BV145" s="24"/>
      <c r="BW145" s="24"/>
      <c r="BX145" s="25"/>
      <c r="BY145" s="25"/>
      <c r="BZ145" s="25"/>
      <c r="CA145" s="25"/>
      <c r="CB145" s="25"/>
      <c r="CC145" s="25"/>
      <c r="CD145" s="24"/>
      <c r="CE145" s="24"/>
      <c r="CF145" s="24"/>
      <c r="CG145" s="24"/>
      <c r="CH145" s="24"/>
      <c r="CI145" s="24"/>
      <c r="CJ145" s="24"/>
      <c r="CK145" s="24"/>
      <c r="CL145" s="25"/>
      <c r="CM145" s="25"/>
      <c r="CN145" s="25"/>
      <c r="CO145" s="25"/>
      <c r="CP145" s="25"/>
      <c r="CQ145" s="25"/>
      <c r="CR145" s="24"/>
      <c r="CS145" s="24"/>
      <c r="CT145" s="24"/>
      <c r="CU145" s="24"/>
      <c r="CV145" s="24"/>
      <c r="CW145" s="24"/>
      <c r="CX145" s="24"/>
      <c r="CY145" s="24"/>
      <c r="CZ145" s="25"/>
      <c r="DA145" s="25"/>
      <c r="DB145" s="25"/>
      <c r="DC145" s="25"/>
      <c r="DD145" s="25"/>
      <c r="DE145" s="25"/>
      <c r="DF145" s="24"/>
      <c r="DG145" s="24"/>
      <c r="DH145" s="24"/>
      <c r="DI145" s="24"/>
      <c r="DJ145" s="24"/>
      <c r="DK145" s="24"/>
      <c r="DL145" s="24"/>
      <c r="DM145" s="24"/>
      <c r="DN145" s="25"/>
      <c r="DO145" s="25"/>
      <c r="DP145" s="25"/>
      <c r="DQ145" s="25"/>
      <c r="DR145" s="25"/>
      <c r="DS145" s="25"/>
      <c r="DT145" s="24"/>
      <c r="DU145" s="24"/>
      <c r="DV145" s="24"/>
      <c r="DW145" s="24"/>
      <c r="DX145" s="24"/>
      <c r="DY145" s="24"/>
      <c r="DZ145" s="24"/>
      <c r="EA145" s="24"/>
      <c r="EB145" s="25"/>
      <c r="EC145" s="25"/>
      <c r="ED145" s="25"/>
      <c r="EE145" s="25"/>
      <c r="EF145" s="25"/>
      <c r="EG145" s="25"/>
      <c r="EH145" s="24"/>
      <c r="EI145" s="24"/>
      <c r="EJ145" s="24"/>
      <c r="EK145" s="24"/>
      <c r="EL145" s="24"/>
      <c r="EM145" s="24"/>
      <c r="EN145" s="24"/>
      <c r="EO145" s="24"/>
      <c r="EP145" s="25"/>
      <c r="EQ145" s="25"/>
      <c r="ER145" s="25"/>
      <c r="ES145" s="25"/>
      <c r="ET145" s="25"/>
      <c r="EU145" s="25"/>
      <c r="EV145" s="24"/>
      <c r="EW145" s="24"/>
      <c r="EX145" s="24"/>
      <c r="EY145" s="24"/>
      <c r="EZ145" s="24"/>
      <c r="FA145" s="24"/>
      <c r="FB145" s="24"/>
      <c r="FC145" s="24"/>
      <c r="FD145" s="25"/>
      <c r="FE145" s="25"/>
      <c r="FF145" s="25"/>
      <c r="FG145" s="25"/>
      <c r="FH145" s="25"/>
      <c r="FI145" s="25"/>
      <c r="FJ145" s="24"/>
      <c r="FK145" s="24"/>
      <c r="FL145" s="24"/>
      <c r="FM145" s="24"/>
      <c r="FN145" s="24"/>
      <c r="FO145" s="24"/>
      <c r="FP145" s="24"/>
      <c r="FQ145" s="24"/>
      <c r="FR145" s="25"/>
      <c r="FS145" s="25"/>
      <c r="FT145" s="25"/>
      <c r="FU145" s="25"/>
      <c r="FV145" s="25"/>
      <c r="FW145" s="25"/>
      <c r="FX145" s="24"/>
      <c r="FY145" s="24"/>
      <c r="FZ145" s="24"/>
      <c r="GA145" s="24"/>
      <c r="GB145" s="24"/>
      <c r="GC145" s="24"/>
      <c r="GD145" s="24"/>
      <c r="GE145" s="24"/>
      <c r="GF145" s="25"/>
      <c r="GG145" s="25"/>
      <c r="GH145" s="25"/>
      <c r="GI145" s="25"/>
      <c r="GJ145" s="25"/>
      <c r="GK145" s="25"/>
      <c r="GL145" s="24"/>
      <c r="GM145" s="24"/>
      <c r="GN145" s="24"/>
      <c r="GO145" s="24"/>
      <c r="GP145" s="24"/>
      <c r="GQ145" s="24"/>
      <c r="GR145" s="24"/>
      <c r="GS145" s="24"/>
      <c r="GT145" s="25"/>
      <c r="GU145" s="25"/>
      <c r="GV145" s="25"/>
      <c r="GW145" s="25"/>
      <c r="GX145" s="25"/>
      <c r="GY145" s="25"/>
      <c r="GZ145" s="24"/>
      <c r="HA145" s="24"/>
      <c r="HB145" s="24"/>
      <c r="HC145" s="24"/>
      <c r="HD145" s="24"/>
      <c r="HE145" s="24"/>
      <c r="HF145" s="24"/>
      <c r="HG145" s="24"/>
      <c r="HH145" s="25"/>
      <c r="HI145" s="25"/>
      <c r="HJ145" s="25"/>
      <c r="HK145" s="25"/>
      <c r="HL145" s="25"/>
      <c r="HM145" s="25"/>
      <c r="HN145" s="24"/>
      <c r="HO145" s="24"/>
      <c r="HP145" s="24"/>
      <c r="HQ145" s="24"/>
      <c r="HR145" s="24"/>
      <c r="HS145" s="24"/>
      <c r="HT145" s="24"/>
      <c r="HU145" s="24"/>
      <c r="HV145" s="25"/>
      <c r="HW145" s="25"/>
      <c r="HX145" s="25"/>
      <c r="HY145" s="25"/>
      <c r="HZ145" s="25"/>
      <c r="IA145" s="25"/>
      <c r="IB145" s="24"/>
      <c r="IC145" s="24"/>
      <c r="ID145" s="24"/>
      <c r="IE145" s="24"/>
      <c r="IF145" s="24"/>
      <c r="IG145" s="24"/>
      <c r="IH145" s="24"/>
      <c r="II145" s="24"/>
      <c r="IJ145" s="25"/>
      <c r="IK145" s="25"/>
      <c r="IL145" s="25"/>
      <c r="IM145" s="25"/>
      <c r="IN145" s="25"/>
      <c r="IO145" s="25"/>
      <c r="IP145" s="24"/>
      <c r="IQ145" s="24"/>
      <c r="IR145" s="24"/>
      <c r="IS145" s="24"/>
      <c r="IT145" s="24"/>
      <c r="IU145" s="24"/>
      <c r="IV145" s="24"/>
      <c r="IW145" s="24"/>
      <c r="IX145" s="25"/>
      <c r="IY145" s="25"/>
      <c r="IZ145" s="25"/>
      <c r="JA145" s="25"/>
      <c r="JB145" s="25"/>
      <c r="JC145" s="25"/>
      <c r="JD145" s="24"/>
      <c r="JE145" s="24"/>
      <c r="JF145" s="24"/>
      <c r="JG145" s="24"/>
      <c r="JH145" s="24"/>
      <c r="JI145" s="24"/>
      <c r="JJ145" s="24"/>
      <c r="JK145" s="24"/>
      <c r="JL145" s="25"/>
      <c r="JM145" s="25"/>
      <c r="JN145" s="25"/>
      <c r="JO145" s="25"/>
      <c r="JP145" s="25"/>
      <c r="JQ145" s="25"/>
      <c r="JR145" s="24"/>
      <c r="JS145" s="24"/>
      <c r="JT145" s="24"/>
      <c r="JU145" s="24"/>
      <c r="JV145" s="24"/>
      <c r="JW145" s="24"/>
      <c r="JX145" s="24"/>
      <c r="JY145" s="24"/>
      <c r="JZ145" s="25"/>
      <c r="KA145" s="25"/>
      <c r="KB145" s="25"/>
      <c r="KC145" s="25"/>
      <c r="KD145" s="25"/>
      <c r="KE145" s="25"/>
      <c r="KF145" s="24"/>
      <c r="KG145" s="24"/>
      <c r="KH145" s="24"/>
      <c r="KI145" s="24"/>
      <c r="KJ145" s="24"/>
      <c r="KK145" s="24"/>
      <c r="KL145" s="24"/>
      <c r="KM145" s="24"/>
      <c r="KN145" s="25"/>
      <c r="KO145" s="25"/>
      <c r="KP145" s="25"/>
      <c r="KQ145" s="25"/>
      <c r="KR145" s="25"/>
      <c r="KS145" s="25"/>
      <c r="KT145" s="24"/>
      <c r="KU145" s="24"/>
      <c r="KV145" s="24"/>
      <c r="KW145" s="24"/>
      <c r="KX145" s="24"/>
      <c r="KY145" s="24"/>
      <c r="KZ145" s="24"/>
      <c r="LA145" s="24"/>
      <c r="LB145" s="25"/>
      <c r="LC145" s="25"/>
      <c r="LD145" s="25"/>
      <c r="LE145" s="25"/>
      <c r="LF145" s="25"/>
      <c r="LG145" s="25"/>
      <c r="LH145" s="24"/>
      <c r="LI145" s="24"/>
      <c r="LJ145" s="24"/>
      <c r="LK145" s="24"/>
      <c r="LL145" s="24"/>
      <c r="LM145" s="24"/>
      <c r="LN145" s="24"/>
      <c r="LO145" s="24"/>
      <c r="LP145" s="25"/>
      <c r="LQ145" s="25"/>
      <c r="LR145" s="25"/>
      <c r="LS145" s="25"/>
      <c r="LT145" s="25"/>
      <c r="LU145" s="25"/>
      <c r="LV145" s="24"/>
      <c r="LW145" s="24"/>
      <c r="LX145" s="24"/>
      <c r="LY145" s="24"/>
      <c r="LZ145" s="24"/>
      <c r="MA145" s="24"/>
      <c r="MB145" s="24"/>
      <c r="MC145" s="24"/>
      <c r="MD145" s="25"/>
      <c r="ME145" s="25"/>
      <c r="MF145" s="25"/>
      <c r="MG145" s="25"/>
      <c r="MH145" s="25"/>
      <c r="MI145" s="25"/>
      <c r="MJ145" s="24"/>
      <c r="MK145" s="24"/>
      <c r="ML145" s="24"/>
      <c r="MM145" s="24"/>
      <c r="MN145" s="24"/>
      <c r="MO145" s="24"/>
      <c r="MP145" s="24"/>
      <c r="MQ145" s="24"/>
      <c r="MR145" s="25"/>
      <c r="MS145" s="25"/>
      <c r="MT145" s="25"/>
      <c r="MU145" s="25"/>
      <c r="MV145" s="25"/>
      <c r="MW145" s="25"/>
      <c r="MX145" s="24"/>
      <c r="MY145" s="24"/>
      <c r="MZ145" s="24"/>
      <c r="NA145" s="24"/>
      <c r="NB145" s="24"/>
      <c r="NC145" s="24"/>
      <c r="ND145" s="24"/>
      <c r="NE145" s="24"/>
      <c r="NF145" s="25"/>
      <c r="NG145" s="25"/>
      <c r="NH145" s="25"/>
      <c r="NI145" s="25"/>
      <c r="NJ145" s="25"/>
      <c r="NK145" s="25"/>
      <c r="NL145" s="24"/>
      <c r="NM145" s="24"/>
      <c r="NN145" s="24"/>
      <c r="NO145" s="24"/>
      <c r="NP145" s="24"/>
      <c r="NQ145" s="24"/>
      <c r="NR145" s="24"/>
      <c r="NS145" s="24"/>
      <c r="NT145" s="25"/>
      <c r="NU145" s="25"/>
      <c r="NV145" s="25"/>
      <c r="NW145" s="25"/>
      <c r="NX145" s="25"/>
      <c r="NY145" s="25"/>
      <c r="NZ145" s="24"/>
      <c r="OA145" s="24"/>
      <c r="OB145" s="24"/>
      <c r="OC145" s="24"/>
      <c r="OD145" s="24"/>
      <c r="OE145" s="24"/>
      <c r="OF145" s="24"/>
      <c r="OG145" s="24"/>
      <c r="OH145" s="25"/>
      <c r="OI145" s="25"/>
      <c r="OJ145" s="25"/>
      <c r="OK145" s="25"/>
      <c r="OL145" s="25"/>
      <c r="OM145" s="25"/>
      <c r="ON145" s="24"/>
      <c r="OO145" s="24"/>
      <c r="OP145" s="24"/>
      <c r="OQ145" s="24"/>
      <c r="OR145" s="24"/>
      <c r="OS145" s="24"/>
      <c r="OT145" s="24"/>
      <c r="OU145" s="24"/>
      <c r="OV145" s="25"/>
      <c r="OW145" s="25"/>
      <c r="OX145" s="25"/>
      <c r="OY145" s="25"/>
      <c r="OZ145" s="25"/>
      <c r="PA145" s="25"/>
      <c r="PB145" s="24"/>
      <c r="PC145" s="24"/>
      <c r="PD145" s="24"/>
      <c r="PE145" s="24"/>
      <c r="PF145" s="24"/>
      <c r="PG145" s="24"/>
      <c r="PH145" s="24"/>
      <c r="PI145" s="24"/>
      <c r="PJ145" s="25"/>
      <c r="PK145" s="25"/>
      <c r="PL145" s="25"/>
      <c r="PM145" s="25"/>
      <c r="PN145" s="25"/>
      <c r="PO145" s="25"/>
      <c r="PP145" s="24"/>
      <c r="PQ145" s="24"/>
      <c r="PR145" s="24"/>
      <c r="PS145" s="24"/>
      <c r="PT145" s="24"/>
      <c r="PU145" s="24"/>
      <c r="PV145" s="24"/>
      <c r="PW145" s="24"/>
      <c r="PX145" s="25"/>
      <c r="PY145" s="25"/>
      <c r="PZ145" s="25"/>
      <c r="QA145" s="25"/>
      <c r="QB145" s="25"/>
      <c r="QC145" s="25"/>
      <c r="QD145" s="24"/>
      <c r="QE145" s="24"/>
      <c r="QF145" s="24"/>
      <c r="QG145" s="24"/>
      <c r="QH145" s="24"/>
      <c r="QI145" s="24"/>
      <c r="QJ145" s="24"/>
      <c r="QK145" s="24"/>
      <c r="QL145" s="25"/>
      <c r="QM145" s="25"/>
      <c r="QN145" s="25"/>
      <c r="QO145" s="25"/>
      <c r="QP145" s="25"/>
      <c r="QQ145" s="25"/>
      <c r="QR145" s="24"/>
      <c r="QS145" s="24"/>
      <c r="QT145" s="24"/>
      <c r="QU145" s="24"/>
      <c r="QV145" s="24"/>
      <c r="QW145" s="24"/>
      <c r="QX145" s="24"/>
      <c r="QY145" s="24"/>
      <c r="QZ145" s="25"/>
      <c r="RA145" s="25"/>
      <c r="RB145" s="25"/>
      <c r="RC145" s="25"/>
      <c r="RD145" s="25"/>
      <c r="RE145" s="25"/>
      <c r="RF145" s="24"/>
      <c r="RG145" s="24"/>
      <c r="RH145" s="24"/>
      <c r="RI145" s="24"/>
      <c r="RJ145" s="24"/>
      <c r="RK145" s="24"/>
      <c r="RL145" s="24"/>
      <c r="RM145" s="24"/>
      <c r="RN145" s="25"/>
      <c r="RO145" s="25"/>
      <c r="RP145" s="25"/>
      <c r="RQ145" s="25"/>
      <c r="RR145" s="25"/>
      <c r="RS145" s="25"/>
      <c r="RT145" s="24"/>
      <c r="RU145" s="24"/>
      <c r="RV145" s="24"/>
      <c r="RW145" s="24"/>
      <c r="RX145" s="24"/>
      <c r="RY145" s="24"/>
      <c r="RZ145" s="24"/>
    </row>
    <row r="146" spans="1:494" ht="50.1" customHeight="1" x14ac:dyDescent="0.3">
      <c r="A146" s="75"/>
      <c r="B146" s="2" t="s">
        <v>9</v>
      </c>
      <c r="C146" s="2" t="s">
        <v>27</v>
      </c>
      <c r="D146" s="46">
        <f t="shared" si="45"/>
        <v>0</v>
      </c>
      <c r="E146" s="46">
        <v>0</v>
      </c>
      <c r="F146" s="46">
        <v>0</v>
      </c>
      <c r="G146" s="46">
        <v>0</v>
      </c>
      <c r="H146" s="46">
        <v>0</v>
      </c>
      <c r="I146" s="46">
        <v>0</v>
      </c>
      <c r="J146" s="34">
        <v>0</v>
      </c>
      <c r="K146" s="67">
        <v>0</v>
      </c>
      <c r="L146" s="46">
        <v>0</v>
      </c>
      <c r="M146" s="43">
        <v>0</v>
      </c>
      <c r="N146" s="24"/>
      <c r="O146" s="24"/>
      <c r="P146" s="24"/>
      <c r="Q146" s="24"/>
      <c r="R146" s="24"/>
      <c r="S146" s="24"/>
      <c r="T146" s="25"/>
      <c r="U146" s="25"/>
      <c r="V146" s="25"/>
      <c r="W146" s="25"/>
      <c r="X146" s="25"/>
      <c r="Y146" s="25"/>
      <c r="Z146" s="24"/>
      <c r="AA146" s="24"/>
      <c r="AB146" s="24"/>
      <c r="AC146" s="24"/>
      <c r="AD146" s="24"/>
      <c r="AE146" s="24"/>
      <c r="AF146" s="24"/>
      <c r="AG146" s="24"/>
      <c r="AH146" s="25"/>
      <c r="AI146" s="25"/>
      <c r="AJ146" s="25"/>
      <c r="AK146" s="25"/>
      <c r="AL146" s="25"/>
      <c r="AM146" s="25"/>
      <c r="AN146" s="24"/>
      <c r="AO146" s="24"/>
      <c r="AP146" s="24"/>
      <c r="AQ146" s="24"/>
      <c r="AR146" s="24"/>
      <c r="AS146" s="24"/>
      <c r="AT146" s="24"/>
      <c r="AU146" s="24"/>
      <c r="AV146" s="25"/>
      <c r="AW146" s="25"/>
      <c r="AX146" s="25"/>
      <c r="AY146" s="25"/>
      <c r="AZ146" s="25"/>
      <c r="BA146" s="25"/>
      <c r="BB146" s="24"/>
      <c r="BC146" s="24"/>
      <c r="BD146" s="24"/>
      <c r="BE146" s="24"/>
      <c r="BF146" s="24"/>
      <c r="BG146" s="24"/>
      <c r="BH146" s="24"/>
      <c r="BI146" s="24"/>
      <c r="BJ146" s="25"/>
      <c r="BK146" s="25"/>
      <c r="BL146" s="25"/>
      <c r="BM146" s="25"/>
      <c r="BN146" s="25"/>
      <c r="BO146" s="25"/>
      <c r="BP146" s="24"/>
      <c r="BQ146" s="24"/>
      <c r="BR146" s="24"/>
      <c r="BS146" s="24"/>
      <c r="BT146" s="24"/>
      <c r="BU146" s="24"/>
      <c r="BV146" s="24"/>
      <c r="BW146" s="24"/>
      <c r="BX146" s="25"/>
      <c r="BY146" s="25"/>
      <c r="BZ146" s="25"/>
      <c r="CA146" s="25"/>
      <c r="CB146" s="25"/>
      <c r="CC146" s="25"/>
      <c r="CD146" s="24"/>
      <c r="CE146" s="24"/>
      <c r="CF146" s="24"/>
      <c r="CG146" s="24"/>
      <c r="CH146" s="24"/>
      <c r="CI146" s="24"/>
      <c r="CJ146" s="24"/>
      <c r="CK146" s="24"/>
      <c r="CL146" s="25"/>
      <c r="CM146" s="25"/>
      <c r="CN146" s="25"/>
      <c r="CO146" s="25"/>
      <c r="CP146" s="25"/>
      <c r="CQ146" s="25"/>
      <c r="CR146" s="24"/>
      <c r="CS146" s="24"/>
      <c r="CT146" s="24"/>
      <c r="CU146" s="24"/>
      <c r="CV146" s="24"/>
      <c r="CW146" s="24"/>
      <c r="CX146" s="24"/>
      <c r="CY146" s="24"/>
      <c r="CZ146" s="25"/>
      <c r="DA146" s="25"/>
      <c r="DB146" s="25"/>
      <c r="DC146" s="25"/>
      <c r="DD146" s="25"/>
      <c r="DE146" s="25"/>
      <c r="DF146" s="24"/>
      <c r="DG146" s="24"/>
      <c r="DH146" s="24"/>
      <c r="DI146" s="24"/>
      <c r="DJ146" s="24"/>
      <c r="DK146" s="24"/>
      <c r="DL146" s="24"/>
      <c r="DM146" s="24"/>
      <c r="DN146" s="25"/>
      <c r="DO146" s="25"/>
      <c r="DP146" s="25"/>
      <c r="DQ146" s="25"/>
      <c r="DR146" s="25"/>
      <c r="DS146" s="25"/>
      <c r="DT146" s="24"/>
      <c r="DU146" s="24"/>
      <c r="DV146" s="24"/>
      <c r="DW146" s="24"/>
      <c r="DX146" s="24"/>
      <c r="DY146" s="24"/>
      <c r="DZ146" s="24"/>
      <c r="EA146" s="24"/>
      <c r="EB146" s="25"/>
      <c r="EC146" s="25"/>
      <c r="ED146" s="25"/>
      <c r="EE146" s="25"/>
      <c r="EF146" s="25"/>
      <c r="EG146" s="25"/>
      <c r="EH146" s="24"/>
      <c r="EI146" s="24"/>
      <c r="EJ146" s="24"/>
      <c r="EK146" s="24"/>
      <c r="EL146" s="24"/>
      <c r="EM146" s="24"/>
      <c r="EN146" s="24"/>
      <c r="EO146" s="24"/>
      <c r="EP146" s="25"/>
      <c r="EQ146" s="25"/>
      <c r="ER146" s="25"/>
      <c r="ES146" s="25"/>
      <c r="ET146" s="25"/>
      <c r="EU146" s="25"/>
      <c r="EV146" s="24"/>
      <c r="EW146" s="24"/>
      <c r="EX146" s="24"/>
      <c r="EY146" s="24"/>
      <c r="EZ146" s="24"/>
      <c r="FA146" s="24"/>
      <c r="FB146" s="24"/>
      <c r="FC146" s="24"/>
      <c r="FD146" s="25"/>
      <c r="FE146" s="25"/>
      <c r="FF146" s="25"/>
      <c r="FG146" s="25"/>
      <c r="FH146" s="25"/>
      <c r="FI146" s="25"/>
      <c r="FJ146" s="24"/>
      <c r="FK146" s="24"/>
      <c r="FL146" s="24"/>
      <c r="FM146" s="24"/>
      <c r="FN146" s="24"/>
      <c r="FO146" s="24"/>
      <c r="FP146" s="24"/>
      <c r="FQ146" s="24"/>
      <c r="FR146" s="25"/>
      <c r="FS146" s="25"/>
      <c r="FT146" s="25"/>
      <c r="FU146" s="25"/>
      <c r="FV146" s="25"/>
      <c r="FW146" s="25"/>
      <c r="FX146" s="24"/>
      <c r="FY146" s="24"/>
      <c r="FZ146" s="24"/>
      <c r="GA146" s="24"/>
      <c r="GB146" s="24"/>
      <c r="GC146" s="24"/>
      <c r="GD146" s="24"/>
      <c r="GE146" s="24"/>
      <c r="GF146" s="25"/>
      <c r="GG146" s="25"/>
      <c r="GH146" s="25"/>
      <c r="GI146" s="25"/>
      <c r="GJ146" s="25"/>
      <c r="GK146" s="25"/>
      <c r="GL146" s="24"/>
      <c r="GM146" s="24"/>
      <c r="GN146" s="24"/>
      <c r="GO146" s="24"/>
      <c r="GP146" s="24"/>
      <c r="GQ146" s="24"/>
      <c r="GR146" s="24"/>
      <c r="GS146" s="24"/>
      <c r="GT146" s="25"/>
      <c r="GU146" s="25"/>
      <c r="GV146" s="25"/>
      <c r="GW146" s="25"/>
      <c r="GX146" s="25"/>
      <c r="GY146" s="25"/>
      <c r="GZ146" s="24"/>
      <c r="HA146" s="24"/>
      <c r="HB146" s="24"/>
      <c r="HC146" s="24"/>
      <c r="HD146" s="24"/>
      <c r="HE146" s="24"/>
      <c r="HF146" s="24"/>
      <c r="HG146" s="24"/>
      <c r="HH146" s="25"/>
      <c r="HI146" s="25"/>
      <c r="HJ146" s="25"/>
      <c r="HK146" s="25"/>
      <c r="HL146" s="25"/>
      <c r="HM146" s="25"/>
      <c r="HN146" s="24"/>
      <c r="HO146" s="24"/>
      <c r="HP146" s="24"/>
      <c r="HQ146" s="24"/>
      <c r="HR146" s="24"/>
      <c r="HS146" s="24"/>
      <c r="HT146" s="24"/>
      <c r="HU146" s="24"/>
      <c r="HV146" s="25"/>
      <c r="HW146" s="25"/>
      <c r="HX146" s="25"/>
      <c r="HY146" s="25"/>
      <c r="HZ146" s="25"/>
      <c r="IA146" s="25"/>
      <c r="IB146" s="24"/>
      <c r="IC146" s="24"/>
      <c r="ID146" s="24"/>
      <c r="IE146" s="24"/>
      <c r="IF146" s="24"/>
      <c r="IG146" s="24"/>
      <c r="IH146" s="24"/>
      <c r="II146" s="24"/>
      <c r="IJ146" s="25"/>
      <c r="IK146" s="25"/>
      <c r="IL146" s="25"/>
      <c r="IM146" s="25"/>
      <c r="IN146" s="25"/>
      <c r="IO146" s="25"/>
      <c r="IP146" s="24"/>
      <c r="IQ146" s="24"/>
      <c r="IR146" s="24"/>
      <c r="IS146" s="24"/>
      <c r="IT146" s="24"/>
      <c r="IU146" s="24"/>
      <c r="IV146" s="24"/>
      <c r="IW146" s="24"/>
      <c r="IX146" s="25"/>
      <c r="IY146" s="25"/>
      <c r="IZ146" s="25"/>
      <c r="JA146" s="25"/>
      <c r="JB146" s="25"/>
      <c r="JC146" s="25"/>
      <c r="JD146" s="24"/>
      <c r="JE146" s="24"/>
      <c r="JF146" s="24"/>
      <c r="JG146" s="24"/>
      <c r="JH146" s="24"/>
      <c r="JI146" s="24"/>
      <c r="JJ146" s="24"/>
      <c r="JK146" s="24"/>
      <c r="JL146" s="25"/>
      <c r="JM146" s="25"/>
      <c r="JN146" s="25"/>
      <c r="JO146" s="25"/>
      <c r="JP146" s="25"/>
      <c r="JQ146" s="25"/>
      <c r="JR146" s="24"/>
      <c r="JS146" s="24"/>
      <c r="JT146" s="24"/>
      <c r="JU146" s="24"/>
      <c r="JV146" s="24"/>
      <c r="JW146" s="24"/>
      <c r="JX146" s="24"/>
      <c r="JY146" s="24"/>
      <c r="JZ146" s="25"/>
      <c r="KA146" s="25"/>
      <c r="KB146" s="25"/>
      <c r="KC146" s="25"/>
      <c r="KD146" s="25"/>
      <c r="KE146" s="25"/>
      <c r="KF146" s="24"/>
      <c r="KG146" s="24"/>
      <c r="KH146" s="24"/>
      <c r="KI146" s="24"/>
      <c r="KJ146" s="24"/>
      <c r="KK146" s="24"/>
      <c r="KL146" s="24"/>
      <c r="KM146" s="24"/>
      <c r="KN146" s="25"/>
      <c r="KO146" s="25"/>
      <c r="KP146" s="25"/>
      <c r="KQ146" s="25"/>
      <c r="KR146" s="25"/>
      <c r="KS146" s="25"/>
      <c r="KT146" s="24"/>
      <c r="KU146" s="24"/>
      <c r="KV146" s="24"/>
      <c r="KW146" s="24"/>
      <c r="KX146" s="24"/>
      <c r="KY146" s="24"/>
      <c r="KZ146" s="24"/>
      <c r="LA146" s="24"/>
      <c r="LB146" s="25"/>
      <c r="LC146" s="25"/>
      <c r="LD146" s="25"/>
      <c r="LE146" s="25"/>
      <c r="LF146" s="25"/>
      <c r="LG146" s="25"/>
      <c r="LH146" s="24"/>
      <c r="LI146" s="24"/>
      <c r="LJ146" s="24"/>
      <c r="LK146" s="24"/>
      <c r="LL146" s="24"/>
      <c r="LM146" s="24"/>
      <c r="LN146" s="24"/>
      <c r="LO146" s="24"/>
      <c r="LP146" s="25"/>
      <c r="LQ146" s="25"/>
      <c r="LR146" s="25"/>
      <c r="LS146" s="25"/>
      <c r="LT146" s="25"/>
      <c r="LU146" s="25"/>
      <c r="LV146" s="24"/>
      <c r="LW146" s="24"/>
      <c r="LX146" s="24"/>
      <c r="LY146" s="24"/>
      <c r="LZ146" s="24"/>
      <c r="MA146" s="24"/>
      <c r="MB146" s="24"/>
      <c r="MC146" s="24"/>
      <c r="MD146" s="25"/>
      <c r="ME146" s="25"/>
      <c r="MF146" s="25"/>
      <c r="MG146" s="25"/>
      <c r="MH146" s="25"/>
      <c r="MI146" s="25"/>
      <c r="MJ146" s="24"/>
      <c r="MK146" s="24"/>
      <c r="ML146" s="24"/>
      <c r="MM146" s="24"/>
      <c r="MN146" s="24"/>
      <c r="MO146" s="24"/>
      <c r="MP146" s="24"/>
      <c r="MQ146" s="24"/>
      <c r="MR146" s="25"/>
      <c r="MS146" s="25"/>
      <c r="MT146" s="25"/>
      <c r="MU146" s="25"/>
      <c r="MV146" s="25"/>
      <c r="MW146" s="25"/>
      <c r="MX146" s="24"/>
      <c r="MY146" s="24"/>
      <c r="MZ146" s="24"/>
      <c r="NA146" s="24"/>
      <c r="NB146" s="24"/>
      <c r="NC146" s="24"/>
      <c r="ND146" s="24"/>
      <c r="NE146" s="24"/>
      <c r="NF146" s="25"/>
      <c r="NG146" s="25"/>
      <c r="NH146" s="25"/>
      <c r="NI146" s="25"/>
      <c r="NJ146" s="25"/>
      <c r="NK146" s="25"/>
      <c r="NL146" s="24"/>
      <c r="NM146" s="24"/>
      <c r="NN146" s="24"/>
      <c r="NO146" s="24"/>
      <c r="NP146" s="24"/>
      <c r="NQ146" s="24"/>
      <c r="NR146" s="24"/>
      <c r="NS146" s="24"/>
      <c r="NT146" s="25"/>
      <c r="NU146" s="25"/>
      <c r="NV146" s="25"/>
      <c r="NW146" s="25"/>
      <c r="NX146" s="25"/>
      <c r="NY146" s="25"/>
      <c r="NZ146" s="24"/>
      <c r="OA146" s="24"/>
      <c r="OB146" s="24"/>
      <c r="OC146" s="24"/>
      <c r="OD146" s="24"/>
      <c r="OE146" s="24"/>
      <c r="OF146" s="24"/>
      <c r="OG146" s="24"/>
      <c r="OH146" s="25"/>
      <c r="OI146" s="25"/>
      <c r="OJ146" s="25"/>
      <c r="OK146" s="25"/>
      <c r="OL146" s="25"/>
      <c r="OM146" s="25"/>
      <c r="ON146" s="24"/>
      <c r="OO146" s="24"/>
      <c r="OP146" s="24"/>
      <c r="OQ146" s="24"/>
      <c r="OR146" s="24"/>
      <c r="OS146" s="24"/>
      <c r="OT146" s="24"/>
      <c r="OU146" s="24"/>
      <c r="OV146" s="25"/>
      <c r="OW146" s="25"/>
      <c r="OX146" s="25"/>
      <c r="OY146" s="25"/>
      <c r="OZ146" s="25"/>
      <c r="PA146" s="25"/>
      <c r="PB146" s="24"/>
      <c r="PC146" s="24"/>
      <c r="PD146" s="24"/>
      <c r="PE146" s="24"/>
      <c r="PF146" s="24"/>
      <c r="PG146" s="24"/>
      <c r="PH146" s="24"/>
      <c r="PI146" s="24"/>
      <c r="PJ146" s="25"/>
      <c r="PK146" s="25"/>
      <c r="PL146" s="25"/>
      <c r="PM146" s="25"/>
      <c r="PN146" s="25"/>
      <c r="PO146" s="25"/>
      <c r="PP146" s="24"/>
      <c r="PQ146" s="24"/>
      <c r="PR146" s="24"/>
      <c r="PS146" s="24"/>
      <c r="PT146" s="24"/>
      <c r="PU146" s="24"/>
      <c r="PV146" s="24"/>
      <c r="PW146" s="24"/>
      <c r="PX146" s="25"/>
      <c r="PY146" s="25"/>
      <c r="PZ146" s="25"/>
      <c r="QA146" s="25"/>
      <c r="QB146" s="25"/>
      <c r="QC146" s="25"/>
      <c r="QD146" s="24"/>
      <c r="QE146" s="24"/>
      <c r="QF146" s="24"/>
      <c r="QG146" s="24"/>
      <c r="QH146" s="24"/>
      <c r="QI146" s="24"/>
      <c r="QJ146" s="24"/>
      <c r="QK146" s="24"/>
      <c r="QL146" s="25"/>
      <c r="QM146" s="25"/>
      <c r="QN146" s="25"/>
      <c r="QO146" s="25"/>
      <c r="QP146" s="25"/>
      <c r="QQ146" s="25"/>
      <c r="QR146" s="24"/>
      <c r="QS146" s="24"/>
      <c r="QT146" s="24"/>
      <c r="QU146" s="24"/>
      <c r="QV146" s="24"/>
      <c r="QW146" s="24"/>
      <c r="QX146" s="24"/>
      <c r="QY146" s="24"/>
      <c r="QZ146" s="25"/>
      <c r="RA146" s="25"/>
      <c r="RB146" s="25"/>
      <c r="RC146" s="25"/>
      <c r="RD146" s="25"/>
      <c r="RE146" s="25"/>
      <c r="RF146" s="24"/>
      <c r="RG146" s="24"/>
      <c r="RH146" s="24"/>
      <c r="RI146" s="24"/>
      <c r="RJ146" s="24"/>
      <c r="RK146" s="24"/>
      <c r="RL146" s="24"/>
      <c r="RM146" s="24"/>
      <c r="RN146" s="25"/>
      <c r="RO146" s="25"/>
      <c r="RP146" s="25"/>
      <c r="RQ146" s="25"/>
      <c r="RR146" s="25"/>
      <c r="RS146" s="25"/>
      <c r="RT146" s="24"/>
      <c r="RU146" s="24"/>
      <c r="RV146" s="24"/>
      <c r="RW146" s="24"/>
      <c r="RX146" s="24"/>
      <c r="RY146" s="24"/>
      <c r="RZ146" s="24"/>
    </row>
    <row r="147" spans="1:494" ht="86.25" customHeight="1" x14ac:dyDescent="0.3">
      <c r="A147" s="26" t="s">
        <v>92</v>
      </c>
      <c r="B147" s="38" t="s">
        <v>23</v>
      </c>
      <c r="C147" s="38" t="s">
        <v>6</v>
      </c>
      <c r="D147" s="46">
        <f t="shared" si="45"/>
        <v>500000</v>
      </c>
      <c r="E147" s="46">
        <v>0</v>
      </c>
      <c r="F147" s="46">
        <v>0</v>
      </c>
      <c r="G147" s="46">
        <v>0</v>
      </c>
      <c r="H147" s="46">
        <v>0</v>
      </c>
      <c r="I147" s="46">
        <v>500000</v>
      </c>
      <c r="J147" s="34">
        <v>0</v>
      </c>
      <c r="K147" s="67">
        <v>0</v>
      </c>
      <c r="L147" s="46">
        <v>0</v>
      </c>
      <c r="M147" s="43">
        <v>0</v>
      </c>
      <c r="N147" s="24"/>
      <c r="O147" s="24"/>
      <c r="P147" s="24"/>
      <c r="Q147" s="24"/>
      <c r="R147" s="24"/>
      <c r="S147" s="24"/>
      <c r="T147" s="25"/>
      <c r="U147" s="25"/>
      <c r="V147" s="25"/>
      <c r="W147" s="25"/>
      <c r="X147" s="25"/>
      <c r="Y147" s="25"/>
      <c r="Z147" s="24"/>
      <c r="AA147" s="24"/>
      <c r="AB147" s="24"/>
      <c r="AC147" s="24"/>
      <c r="AD147" s="24"/>
      <c r="AE147" s="24"/>
      <c r="AF147" s="24"/>
      <c r="AG147" s="24"/>
      <c r="AH147" s="25"/>
      <c r="AI147" s="25"/>
      <c r="AJ147" s="25"/>
      <c r="AK147" s="25"/>
      <c r="AL147" s="25"/>
      <c r="AM147" s="25"/>
      <c r="AN147" s="24"/>
      <c r="AO147" s="24"/>
      <c r="AP147" s="24"/>
      <c r="AQ147" s="24"/>
      <c r="AR147" s="24"/>
      <c r="AS147" s="24"/>
      <c r="AT147" s="24"/>
      <c r="AU147" s="24"/>
      <c r="AV147" s="25"/>
      <c r="AW147" s="25"/>
      <c r="AX147" s="25"/>
      <c r="AY147" s="25"/>
      <c r="AZ147" s="25"/>
      <c r="BA147" s="25"/>
      <c r="BB147" s="24"/>
      <c r="BC147" s="24"/>
      <c r="BD147" s="24"/>
      <c r="BE147" s="24"/>
      <c r="BF147" s="24"/>
      <c r="BG147" s="24"/>
      <c r="BH147" s="24"/>
      <c r="BI147" s="24"/>
      <c r="BJ147" s="25"/>
      <c r="BK147" s="25"/>
      <c r="BL147" s="25"/>
      <c r="BM147" s="25"/>
      <c r="BN147" s="25"/>
      <c r="BO147" s="25"/>
      <c r="BP147" s="24"/>
      <c r="BQ147" s="24"/>
      <c r="BR147" s="24"/>
      <c r="BS147" s="24"/>
      <c r="BT147" s="24"/>
      <c r="BU147" s="24"/>
      <c r="BV147" s="24"/>
      <c r="BW147" s="24"/>
      <c r="BX147" s="25"/>
      <c r="BY147" s="25"/>
      <c r="BZ147" s="25"/>
      <c r="CA147" s="25"/>
      <c r="CB147" s="25"/>
      <c r="CC147" s="25"/>
      <c r="CD147" s="24"/>
      <c r="CE147" s="24"/>
      <c r="CF147" s="24"/>
      <c r="CG147" s="24"/>
      <c r="CH147" s="24"/>
      <c r="CI147" s="24"/>
      <c r="CJ147" s="24"/>
      <c r="CK147" s="24"/>
      <c r="CL147" s="25"/>
      <c r="CM147" s="25"/>
      <c r="CN147" s="25"/>
      <c r="CO147" s="25"/>
      <c r="CP147" s="25"/>
      <c r="CQ147" s="25"/>
      <c r="CR147" s="24"/>
      <c r="CS147" s="24"/>
      <c r="CT147" s="24"/>
      <c r="CU147" s="24"/>
      <c r="CV147" s="24"/>
      <c r="CW147" s="24"/>
      <c r="CX147" s="24"/>
      <c r="CY147" s="24"/>
      <c r="CZ147" s="25"/>
      <c r="DA147" s="25"/>
      <c r="DB147" s="25"/>
      <c r="DC147" s="25"/>
      <c r="DD147" s="25"/>
      <c r="DE147" s="25"/>
      <c r="DF147" s="24"/>
      <c r="DG147" s="24"/>
      <c r="DH147" s="24"/>
      <c r="DI147" s="24"/>
      <c r="DJ147" s="24"/>
      <c r="DK147" s="24"/>
      <c r="DL147" s="24"/>
      <c r="DM147" s="24"/>
      <c r="DN147" s="25"/>
      <c r="DO147" s="25"/>
      <c r="DP147" s="25"/>
      <c r="DQ147" s="25"/>
      <c r="DR147" s="25"/>
      <c r="DS147" s="25"/>
      <c r="DT147" s="24"/>
      <c r="DU147" s="24"/>
      <c r="DV147" s="24"/>
      <c r="DW147" s="24"/>
      <c r="DX147" s="24"/>
      <c r="DY147" s="24"/>
      <c r="DZ147" s="24"/>
      <c r="EA147" s="24"/>
      <c r="EB147" s="25"/>
      <c r="EC147" s="25"/>
      <c r="ED147" s="25"/>
      <c r="EE147" s="25"/>
      <c r="EF147" s="25"/>
      <c r="EG147" s="25"/>
      <c r="EH147" s="24"/>
      <c r="EI147" s="24"/>
      <c r="EJ147" s="24"/>
      <c r="EK147" s="24"/>
      <c r="EL147" s="24"/>
      <c r="EM147" s="24"/>
      <c r="EN147" s="24"/>
      <c r="EO147" s="24"/>
      <c r="EP147" s="25"/>
      <c r="EQ147" s="25"/>
      <c r="ER147" s="25"/>
      <c r="ES147" s="25"/>
      <c r="ET147" s="25"/>
      <c r="EU147" s="25"/>
      <c r="EV147" s="24"/>
      <c r="EW147" s="24"/>
      <c r="EX147" s="24"/>
      <c r="EY147" s="24"/>
      <c r="EZ147" s="24"/>
      <c r="FA147" s="24"/>
      <c r="FB147" s="24"/>
      <c r="FC147" s="24"/>
      <c r="FD147" s="25"/>
      <c r="FE147" s="25"/>
      <c r="FF147" s="25"/>
      <c r="FG147" s="25"/>
      <c r="FH147" s="25"/>
      <c r="FI147" s="25"/>
      <c r="FJ147" s="24"/>
      <c r="FK147" s="24"/>
      <c r="FL147" s="24"/>
      <c r="FM147" s="24"/>
      <c r="FN147" s="24"/>
      <c r="FO147" s="24"/>
      <c r="FP147" s="24"/>
      <c r="FQ147" s="24"/>
      <c r="FR147" s="25"/>
      <c r="FS147" s="25"/>
      <c r="FT147" s="25"/>
      <c r="FU147" s="25"/>
      <c r="FV147" s="25"/>
      <c r="FW147" s="25"/>
      <c r="FX147" s="24"/>
      <c r="FY147" s="24"/>
      <c r="FZ147" s="24"/>
      <c r="GA147" s="24"/>
      <c r="GB147" s="24"/>
      <c r="GC147" s="24"/>
      <c r="GD147" s="24"/>
      <c r="GE147" s="24"/>
      <c r="GF147" s="25"/>
      <c r="GG147" s="25"/>
      <c r="GH147" s="25"/>
      <c r="GI147" s="25"/>
      <c r="GJ147" s="25"/>
      <c r="GK147" s="25"/>
      <c r="GL147" s="24"/>
      <c r="GM147" s="24"/>
      <c r="GN147" s="24"/>
      <c r="GO147" s="24"/>
      <c r="GP147" s="24"/>
      <c r="GQ147" s="24"/>
      <c r="GR147" s="24"/>
      <c r="GS147" s="24"/>
      <c r="GT147" s="25"/>
      <c r="GU147" s="25"/>
      <c r="GV147" s="25"/>
      <c r="GW147" s="25"/>
      <c r="GX147" s="25"/>
      <c r="GY147" s="25"/>
      <c r="GZ147" s="24"/>
      <c r="HA147" s="24"/>
      <c r="HB147" s="24"/>
      <c r="HC147" s="24"/>
      <c r="HD147" s="24"/>
      <c r="HE147" s="24"/>
      <c r="HF147" s="24"/>
      <c r="HG147" s="24"/>
      <c r="HH147" s="25"/>
      <c r="HI147" s="25"/>
      <c r="HJ147" s="25"/>
      <c r="HK147" s="25"/>
      <c r="HL147" s="25"/>
      <c r="HM147" s="25"/>
      <c r="HN147" s="24"/>
      <c r="HO147" s="24"/>
      <c r="HP147" s="24"/>
      <c r="HQ147" s="24"/>
      <c r="HR147" s="24"/>
      <c r="HS147" s="24"/>
      <c r="HT147" s="24"/>
      <c r="HU147" s="24"/>
      <c r="HV147" s="25"/>
      <c r="HW147" s="25"/>
      <c r="HX147" s="25"/>
      <c r="HY147" s="25"/>
      <c r="HZ147" s="25"/>
      <c r="IA147" s="25"/>
      <c r="IB147" s="24"/>
      <c r="IC147" s="24"/>
      <c r="ID147" s="24"/>
      <c r="IE147" s="24"/>
      <c r="IF147" s="24"/>
      <c r="IG147" s="24"/>
      <c r="IH147" s="24"/>
      <c r="II147" s="24"/>
      <c r="IJ147" s="25"/>
      <c r="IK147" s="25"/>
      <c r="IL147" s="25"/>
      <c r="IM147" s="25"/>
      <c r="IN147" s="25"/>
      <c r="IO147" s="25"/>
      <c r="IP147" s="24"/>
      <c r="IQ147" s="24"/>
      <c r="IR147" s="24"/>
      <c r="IS147" s="24"/>
      <c r="IT147" s="24"/>
      <c r="IU147" s="24"/>
      <c r="IV147" s="24"/>
      <c r="IW147" s="24"/>
      <c r="IX147" s="25"/>
      <c r="IY147" s="25"/>
      <c r="IZ147" s="25"/>
      <c r="JA147" s="25"/>
      <c r="JB147" s="25"/>
      <c r="JC147" s="25"/>
      <c r="JD147" s="24"/>
      <c r="JE147" s="24"/>
      <c r="JF147" s="24"/>
      <c r="JG147" s="24"/>
      <c r="JH147" s="24"/>
      <c r="JI147" s="24"/>
      <c r="JJ147" s="24"/>
      <c r="JK147" s="24"/>
      <c r="JL147" s="25"/>
      <c r="JM147" s="25"/>
      <c r="JN147" s="25"/>
      <c r="JO147" s="25"/>
      <c r="JP147" s="25"/>
      <c r="JQ147" s="25"/>
      <c r="JR147" s="24"/>
      <c r="JS147" s="24"/>
      <c r="JT147" s="24"/>
      <c r="JU147" s="24"/>
      <c r="JV147" s="24"/>
      <c r="JW147" s="24"/>
      <c r="JX147" s="24"/>
      <c r="JY147" s="24"/>
      <c r="JZ147" s="25"/>
      <c r="KA147" s="25"/>
      <c r="KB147" s="25"/>
      <c r="KC147" s="25"/>
      <c r="KD147" s="25"/>
      <c r="KE147" s="25"/>
      <c r="KF147" s="24"/>
      <c r="KG147" s="24"/>
      <c r="KH147" s="24"/>
      <c r="KI147" s="24"/>
      <c r="KJ147" s="24"/>
      <c r="KK147" s="24"/>
      <c r="KL147" s="24"/>
      <c r="KM147" s="24"/>
      <c r="KN147" s="25"/>
      <c r="KO147" s="25"/>
      <c r="KP147" s="25"/>
      <c r="KQ147" s="25"/>
      <c r="KR147" s="25"/>
      <c r="KS147" s="25"/>
      <c r="KT147" s="24"/>
      <c r="KU147" s="24"/>
      <c r="KV147" s="24"/>
      <c r="KW147" s="24"/>
      <c r="KX147" s="24"/>
      <c r="KY147" s="24"/>
      <c r="KZ147" s="24"/>
      <c r="LA147" s="24"/>
      <c r="LB147" s="25"/>
      <c r="LC147" s="25"/>
      <c r="LD147" s="25"/>
      <c r="LE147" s="25"/>
      <c r="LF147" s="25"/>
      <c r="LG147" s="25"/>
      <c r="LH147" s="24"/>
      <c r="LI147" s="24"/>
      <c r="LJ147" s="24"/>
      <c r="LK147" s="24"/>
      <c r="LL147" s="24"/>
      <c r="LM147" s="24"/>
      <c r="LN147" s="24"/>
      <c r="LO147" s="24"/>
      <c r="LP147" s="25"/>
      <c r="LQ147" s="25"/>
      <c r="LR147" s="25"/>
      <c r="LS147" s="25"/>
      <c r="LT147" s="25"/>
      <c r="LU147" s="25"/>
      <c r="LV147" s="24"/>
      <c r="LW147" s="24"/>
      <c r="LX147" s="24"/>
      <c r="LY147" s="24"/>
      <c r="LZ147" s="24"/>
      <c r="MA147" s="24"/>
      <c r="MB147" s="24"/>
      <c r="MC147" s="24"/>
      <c r="MD147" s="25"/>
      <c r="ME147" s="25"/>
      <c r="MF147" s="25"/>
      <c r="MG147" s="25"/>
      <c r="MH147" s="25"/>
      <c r="MI147" s="25"/>
      <c r="MJ147" s="24"/>
      <c r="MK147" s="24"/>
      <c r="ML147" s="24"/>
      <c r="MM147" s="24"/>
      <c r="MN147" s="24"/>
      <c r="MO147" s="24"/>
      <c r="MP147" s="24"/>
      <c r="MQ147" s="24"/>
      <c r="MR147" s="25"/>
      <c r="MS147" s="25"/>
      <c r="MT147" s="25"/>
      <c r="MU147" s="25"/>
      <c r="MV147" s="25"/>
      <c r="MW147" s="25"/>
      <c r="MX147" s="24"/>
      <c r="MY147" s="24"/>
      <c r="MZ147" s="24"/>
      <c r="NA147" s="24"/>
      <c r="NB147" s="24"/>
      <c r="NC147" s="24"/>
      <c r="ND147" s="24"/>
      <c r="NE147" s="24"/>
      <c r="NF147" s="25"/>
      <c r="NG147" s="25"/>
      <c r="NH147" s="25"/>
      <c r="NI147" s="25"/>
      <c r="NJ147" s="25"/>
      <c r="NK147" s="25"/>
      <c r="NL147" s="24"/>
      <c r="NM147" s="24"/>
      <c r="NN147" s="24"/>
      <c r="NO147" s="24"/>
      <c r="NP147" s="24"/>
      <c r="NQ147" s="24"/>
      <c r="NR147" s="24"/>
      <c r="NS147" s="24"/>
      <c r="NT147" s="25"/>
      <c r="NU147" s="25"/>
      <c r="NV147" s="25"/>
      <c r="NW147" s="25"/>
      <c r="NX147" s="25"/>
      <c r="NY147" s="25"/>
      <c r="NZ147" s="24"/>
      <c r="OA147" s="24"/>
      <c r="OB147" s="24"/>
      <c r="OC147" s="24"/>
      <c r="OD147" s="24"/>
      <c r="OE147" s="24"/>
      <c r="OF147" s="24"/>
      <c r="OG147" s="24"/>
      <c r="OH147" s="25"/>
      <c r="OI147" s="25"/>
      <c r="OJ147" s="25"/>
      <c r="OK147" s="25"/>
      <c r="OL147" s="25"/>
      <c r="OM147" s="25"/>
      <c r="ON147" s="24"/>
      <c r="OO147" s="24"/>
      <c r="OP147" s="24"/>
      <c r="OQ147" s="24"/>
      <c r="OR147" s="24"/>
      <c r="OS147" s="24"/>
      <c r="OT147" s="24"/>
      <c r="OU147" s="24"/>
      <c r="OV147" s="25"/>
      <c r="OW147" s="25"/>
      <c r="OX147" s="25"/>
      <c r="OY147" s="25"/>
      <c r="OZ147" s="25"/>
      <c r="PA147" s="25"/>
      <c r="PB147" s="24"/>
      <c r="PC147" s="24"/>
      <c r="PD147" s="24"/>
      <c r="PE147" s="24"/>
      <c r="PF147" s="24"/>
      <c r="PG147" s="24"/>
      <c r="PH147" s="24"/>
      <c r="PI147" s="24"/>
      <c r="PJ147" s="25"/>
      <c r="PK147" s="25"/>
      <c r="PL147" s="25"/>
      <c r="PM147" s="25"/>
      <c r="PN147" s="25"/>
      <c r="PO147" s="25"/>
      <c r="PP147" s="24"/>
      <c r="PQ147" s="24"/>
      <c r="PR147" s="24"/>
      <c r="PS147" s="24"/>
      <c r="PT147" s="24"/>
      <c r="PU147" s="24"/>
      <c r="PV147" s="24"/>
      <c r="PW147" s="24"/>
      <c r="PX147" s="25"/>
      <c r="PY147" s="25"/>
      <c r="PZ147" s="25"/>
      <c r="QA147" s="25"/>
      <c r="QB147" s="25"/>
      <c r="QC147" s="25"/>
      <c r="QD147" s="24"/>
      <c r="QE147" s="24"/>
      <c r="QF147" s="24"/>
      <c r="QG147" s="24"/>
      <c r="QH147" s="24"/>
      <c r="QI147" s="24"/>
      <c r="QJ147" s="24"/>
      <c r="QK147" s="24"/>
      <c r="QL147" s="25"/>
      <c r="QM147" s="25"/>
      <c r="QN147" s="25"/>
      <c r="QO147" s="25"/>
      <c r="QP147" s="25"/>
      <c r="QQ147" s="25"/>
      <c r="QR147" s="24"/>
      <c r="QS147" s="24"/>
      <c r="QT147" s="24"/>
      <c r="QU147" s="24"/>
      <c r="QV147" s="24"/>
      <c r="QW147" s="24"/>
      <c r="QX147" s="24"/>
      <c r="QY147" s="24"/>
      <c r="QZ147" s="25"/>
      <c r="RA147" s="25"/>
      <c r="RB147" s="25"/>
      <c r="RC147" s="25"/>
      <c r="RD147" s="25"/>
      <c r="RE147" s="25"/>
      <c r="RF147" s="24"/>
      <c r="RG147" s="24"/>
      <c r="RH147" s="24"/>
      <c r="RI147" s="24"/>
      <c r="RJ147" s="24"/>
      <c r="RK147" s="24"/>
      <c r="RL147" s="24"/>
      <c r="RM147" s="24"/>
      <c r="RN147" s="25"/>
      <c r="RO147" s="25"/>
      <c r="RP147" s="25"/>
      <c r="RQ147" s="25"/>
      <c r="RR147" s="25"/>
      <c r="RS147" s="25"/>
      <c r="RT147" s="24"/>
      <c r="RU147" s="24"/>
      <c r="RV147" s="24"/>
      <c r="RW147" s="24"/>
      <c r="RX147" s="24"/>
      <c r="RY147" s="24"/>
      <c r="RZ147" s="24"/>
    </row>
    <row r="148" spans="1:494" ht="86.25" customHeight="1" x14ac:dyDescent="0.3">
      <c r="A148" s="22" t="s">
        <v>93</v>
      </c>
      <c r="B148" s="2" t="s">
        <v>23</v>
      </c>
      <c r="C148" s="2" t="s">
        <v>6</v>
      </c>
      <c r="D148" s="46">
        <f t="shared" si="45"/>
        <v>0</v>
      </c>
      <c r="E148" s="46">
        <v>0</v>
      </c>
      <c r="F148" s="46">
        <v>0</v>
      </c>
      <c r="G148" s="46">
        <v>0</v>
      </c>
      <c r="H148" s="46">
        <v>0</v>
      </c>
      <c r="I148" s="46">
        <v>0</v>
      </c>
      <c r="J148" s="34">
        <f>2000000-2000000</f>
        <v>0</v>
      </c>
      <c r="K148" s="67">
        <v>0</v>
      </c>
      <c r="L148" s="46">
        <v>0</v>
      </c>
      <c r="M148" s="43">
        <v>0</v>
      </c>
      <c r="N148" s="24"/>
      <c r="O148" s="24"/>
      <c r="P148" s="24"/>
      <c r="Q148" s="24"/>
      <c r="R148" s="24"/>
      <c r="S148" s="24"/>
      <c r="T148" s="25"/>
      <c r="U148" s="25"/>
      <c r="V148" s="25"/>
      <c r="W148" s="25"/>
      <c r="X148" s="25"/>
      <c r="Y148" s="25"/>
      <c r="Z148" s="24"/>
      <c r="AA148" s="24"/>
      <c r="AB148" s="24"/>
      <c r="AC148" s="24"/>
      <c r="AD148" s="24"/>
      <c r="AE148" s="24"/>
      <c r="AF148" s="24"/>
      <c r="AG148" s="24"/>
      <c r="AH148" s="25"/>
      <c r="AI148" s="25"/>
      <c r="AJ148" s="25"/>
      <c r="AK148" s="25"/>
      <c r="AL148" s="25"/>
      <c r="AM148" s="25"/>
      <c r="AN148" s="24"/>
      <c r="AO148" s="24"/>
      <c r="AP148" s="24"/>
      <c r="AQ148" s="24"/>
      <c r="AR148" s="24"/>
      <c r="AS148" s="24"/>
      <c r="AT148" s="24"/>
      <c r="AU148" s="24"/>
      <c r="AV148" s="25"/>
      <c r="AW148" s="25"/>
      <c r="AX148" s="25"/>
      <c r="AY148" s="25"/>
      <c r="AZ148" s="25"/>
      <c r="BA148" s="25"/>
      <c r="BB148" s="24"/>
      <c r="BC148" s="24"/>
      <c r="BD148" s="24"/>
      <c r="BE148" s="24"/>
      <c r="BF148" s="24"/>
      <c r="BG148" s="24"/>
      <c r="BH148" s="24"/>
      <c r="BI148" s="24"/>
      <c r="BJ148" s="25"/>
      <c r="BK148" s="25"/>
      <c r="BL148" s="25"/>
      <c r="BM148" s="25"/>
      <c r="BN148" s="25"/>
      <c r="BO148" s="25"/>
      <c r="BP148" s="24"/>
      <c r="BQ148" s="24"/>
      <c r="BR148" s="24"/>
      <c r="BS148" s="24"/>
      <c r="BT148" s="24"/>
      <c r="BU148" s="24"/>
      <c r="BV148" s="24"/>
      <c r="BW148" s="24"/>
      <c r="BX148" s="25"/>
      <c r="BY148" s="25"/>
      <c r="BZ148" s="25"/>
      <c r="CA148" s="25"/>
      <c r="CB148" s="25"/>
      <c r="CC148" s="25"/>
      <c r="CD148" s="24"/>
      <c r="CE148" s="24"/>
      <c r="CF148" s="24"/>
      <c r="CG148" s="24"/>
      <c r="CH148" s="24"/>
      <c r="CI148" s="24"/>
      <c r="CJ148" s="24"/>
      <c r="CK148" s="24"/>
      <c r="CL148" s="25"/>
      <c r="CM148" s="25"/>
      <c r="CN148" s="25"/>
      <c r="CO148" s="25"/>
      <c r="CP148" s="25"/>
      <c r="CQ148" s="25"/>
      <c r="CR148" s="24"/>
      <c r="CS148" s="24"/>
      <c r="CT148" s="24"/>
      <c r="CU148" s="24"/>
      <c r="CV148" s="24"/>
      <c r="CW148" s="24"/>
      <c r="CX148" s="24"/>
      <c r="CY148" s="24"/>
      <c r="CZ148" s="25"/>
      <c r="DA148" s="25"/>
      <c r="DB148" s="25"/>
      <c r="DC148" s="25"/>
      <c r="DD148" s="25"/>
      <c r="DE148" s="25"/>
      <c r="DF148" s="24"/>
      <c r="DG148" s="24"/>
      <c r="DH148" s="24"/>
      <c r="DI148" s="24"/>
      <c r="DJ148" s="24"/>
      <c r="DK148" s="24"/>
      <c r="DL148" s="24"/>
      <c r="DM148" s="24"/>
      <c r="DN148" s="25"/>
      <c r="DO148" s="25"/>
      <c r="DP148" s="25"/>
      <c r="DQ148" s="25"/>
      <c r="DR148" s="25"/>
      <c r="DS148" s="25"/>
      <c r="DT148" s="24"/>
      <c r="DU148" s="24"/>
      <c r="DV148" s="24"/>
      <c r="DW148" s="24"/>
      <c r="DX148" s="24"/>
      <c r="DY148" s="24"/>
      <c r="DZ148" s="24"/>
      <c r="EA148" s="24"/>
      <c r="EB148" s="25"/>
      <c r="EC148" s="25"/>
      <c r="ED148" s="25"/>
      <c r="EE148" s="25"/>
      <c r="EF148" s="25"/>
      <c r="EG148" s="25"/>
      <c r="EH148" s="24"/>
      <c r="EI148" s="24"/>
      <c r="EJ148" s="24"/>
      <c r="EK148" s="24"/>
      <c r="EL148" s="24"/>
      <c r="EM148" s="24"/>
      <c r="EN148" s="24"/>
      <c r="EO148" s="24"/>
      <c r="EP148" s="25"/>
      <c r="EQ148" s="25"/>
      <c r="ER148" s="25"/>
      <c r="ES148" s="25"/>
      <c r="ET148" s="25"/>
      <c r="EU148" s="25"/>
      <c r="EV148" s="24"/>
      <c r="EW148" s="24"/>
      <c r="EX148" s="24"/>
      <c r="EY148" s="24"/>
      <c r="EZ148" s="24"/>
      <c r="FA148" s="24"/>
      <c r="FB148" s="24"/>
      <c r="FC148" s="24"/>
      <c r="FD148" s="25"/>
      <c r="FE148" s="25"/>
      <c r="FF148" s="25"/>
      <c r="FG148" s="25"/>
      <c r="FH148" s="25"/>
      <c r="FI148" s="25"/>
      <c r="FJ148" s="24"/>
      <c r="FK148" s="24"/>
      <c r="FL148" s="24"/>
      <c r="FM148" s="24"/>
      <c r="FN148" s="24"/>
      <c r="FO148" s="24"/>
      <c r="FP148" s="24"/>
      <c r="FQ148" s="24"/>
      <c r="FR148" s="25"/>
      <c r="FS148" s="25"/>
      <c r="FT148" s="25"/>
      <c r="FU148" s="25"/>
      <c r="FV148" s="25"/>
      <c r="FW148" s="25"/>
      <c r="FX148" s="24"/>
      <c r="FY148" s="24"/>
      <c r="FZ148" s="24"/>
      <c r="GA148" s="24"/>
      <c r="GB148" s="24"/>
      <c r="GC148" s="24"/>
      <c r="GD148" s="24"/>
      <c r="GE148" s="24"/>
      <c r="GF148" s="25"/>
      <c r="GG148" s="25"/>
      <c r="GH148" s="25"/>
      <c r="GI148" s="25"/>
      <c r="GJ148" s="25"/>
      <c r="GK148" s="25"/>
      <c r="GL148" s="24"/>
      <c r="GM148" s="24"/>
      <c r="GN148" s="24"/>
      <c r="GO148" s="24"/>
      <c r="GP148" s="24"/>
      <c r="GQ148" s="24"/>
      <c r="GR148" s="24"/>
      <c r="GS148" s="24"/>
      <c r="GT148" s="25"/>
      <c r="GU148" s="25"/>
      <c r="GV148" s="25"/>
      <c r="GW148" s="25"/>
      <c r="GX148" s="25"/>
      <c r="GY148" s="25"/>
      <c r="GZ148" s="24"/>
      <c r="HA148" s="24"/>
      <c r="HB148" s="24"/>
      <c r="HC148" s="24"/>
      <c r="HD148" s="24"/>
      <c r="HE148" s="24"/>
      <c r="HF148" s="24"/>
      <c r="HG148" s="24"/>
      <c r="HH148" s="25"/>
      <c r="HI148" s="25"/>
      <c r="HJ148" s="25"/>
      <c r="HK148" s="25"/>
      <c r="HL148" s="25"/>
      <c r="HM148" s="25"/>
      <c r="HN148" s="24"/>
      <c r="HO148" s="24"/>
      <c r="HP148" s="24"/>
      <c r="HQ148" s="24"/>
      <c r="HR148" s="24"/>
      <c r="HS148" s="24"/>
      <c r="HT148" s="24"/>
      <c r="HU148" s="24"/>
      <c r="HV148" s="25"/>
      <c r="HW148" s="25"/>
      <c r="HX148" s="25"/>
      <c r="HY148" s="25"/>
      <c r="HZ148" s="25"/>
      <c r="IA148" s="25"/>
      <c r="IB148" s="24"/>
      <c r="IC148" s="24"/>
      <c r="ID148" s="24"/>
      <c r="IE148" s="24"/>
      <c r="IF148" s="24"/>
      <c r="IG148" s="24"/>
      <c r="IH148" s="24"/>
      <c r="II148" s="24"/>
      <c r="IJ148" s="25"/>
      <c r="IK148" s="25"/>
      <c r="IL148" s="25"/>
      <c r="IM148" s="25"/>
      <c r="IN148" s="25"/>
      <c r="IO148" s="25"/>
      <c r="IP148" s="24"/>
      <c r="IQ148" s="24"/>
      <c r="IR148" s="24"/>
      <c r="IS148" s="24"/>
      <c r="IT148" s="24"/>
      <c r="IU148" s="24"/>
      <c r="IV148" s="24"/>
      <c r="IW148" s="24"/>
      <c r="IX148" s="25"/>
      <c r="IY148" s="25"/>
      <c r="IZ148" s="25"/>
      <c r="JA148" s="25"/>
      <c r="JB148" s="25"/>
      <c r="JC148" s="25"/>
      <c r="JD148" s="24"/>
      <c r="JE148" s="24"/>
      <c r="JF148" s="24"/>
      <c r="JG148" s="24"/>
      <c r="JH148" s="24"/>
      <c r="JI148" s="24"/>
      <c r="JJ148" s="24"/>
      <c r="JK148" s="24"/>
      <c r="JL148" s="25"/>
      <c r="JM148" s="25"/>
      <c r="JN148" s="25"/>
      <c r="JO148" s="25"/>
      <c r="JP148" s="25"/>
      <c r="JQ148" s="25"/>
      <c r="JR148" s="24"/>
      <c r="JS148" s="24"/>
      <c r="JT148" s="24"/>
      <c r="JU148" s="24"/>
      <c r="JV148" s="24"/>
      <c r="JW148" s="24"/>
      <c r="JX148" s="24"/>
      <c r="JY148" s="24"/>
      <c r="JZ148" s="25"/>
      <c r="KA148" s="25"/>
      <c r="KB148" s="25"/>
      <c r="KC148" s="25"/>
      <c r="KD148" s="25"/>
      <c r="KE148" s="25"/>
      <c r="KF148" s="24"/>
      <c r="KG148" s="24"/>
      <c r="KH148" s="24"/>
      <c r="KI148" s="24"/>
      <c r="KJ148" s="24"/>
      <c r="KK148" s="24"/>
      <c r="KL148" s="24"/>
      <c r="KM148" s="24"/>
      <c r="KN148" s="25"/>
      <c r="KO148" s="25"/>
      <c r="KP148" s="25"/>
      <c r="KQ148" s="25"/>
      <c r="KR148" s="25"/>
      <c r="KS148" s="25"/>
      <c r="KT148" s="24"/>
      <c r="KU148" s="24"/>
      <c r="KV148" s="24"/>
      <c r="KW148" s="24"/>
      <c r="KX148" s="24"/>
      <c r="KY148" s="24"/>
      <c r="KZ148" s="24"/>
      <c r="LA148" s="24"/>
      <c r="LB148" s="25"/>
      <c r="LC148" s="25"/>
      <c r="LD148" s="25"/>
      <c r="LE148" s="25"/>
      <c r="LF148" s="25"/>
      <c r="LG148" s="25"/>
      <c r="LH148" s="24"/>
      <c r="LI148" s="24"/>
      <c r="LJ148" s="24"/>
      <c r="LK148" s="24"/>
      <c r="LL148" s="24"/>
      <c r="LM148" s="24"/>
      <c r="LN148" s="24"/>
      <c r="LO148" s="24"/>
      <c r="LP148" s="25"/>
      <c r="LQ148" s="25"/>
      <c r="LR148" s="25"/>
      <c r="LS148" s="25"/>
      <c r="LT148" s="25"/>
      <c r="LU148" s="25"/>
      <c r="LV148" s="24"/>
      <c r="LW148" s="24"/>
      <c r="LX148" s="24"/>
      <c r="LY148" s="24"/>
      <c r="LZ148" s="24"/>
      <c r="MA148" s="24"/>
      <c r="MB148" s="24"/>
      <c r="MC148" s="24"/>
      <c r="MD148" s="25"/>
      <c r="ME148" s="25"/>
      <c r="MF148" s="25"/>
      <c r="MG148" s="25"/>
      <c r="MH148" s="25"/>
      <c r="MI148" s="25"/>
      <c r="MJ148" s="24"/>
      <c r="MK148" s="24"/>
      <c r="ML148" s="24"/>
      <c r="MM148" s="24"/>
      <c r="MN148" s="24"/>
      <c r="MO148" s="24"/>
      <c r="MP148" s="24"/>
      <c r="MQ148" s="24"/>
      <c r="MR148" s="25"/>
      <c r="MS148" s="25"/>
      <c r="MT148" s="25"/>
      <c r="MU148" s="25"/>
      <c r="MV148" s="25"/>
      <c r="MW148" s="25"/>
      <c r="MX148" s="24"/>
      <c r="MY148" s="24"/>
      <c r="MZ148" s="24"/>
      <c r="NA148" s="24"/>
      <c r="NB148" s="24"/>
      <c r="NC148" s="24"/>
      <c r="ND148" s="24"/>
      <c r="NE148" s="24"/>
      <c r="NF148" s="25"/>
      <c r="NG148" s="25"/>
      <c r="NH148" s="25"/>
      <c r="NI148" s="25"/>
      <c r="NJ148" s="25"/>
      <c r="NK148" s="25"/>
      <c r="NL148" s="24"/>
      <c r="NM148" s="24"/>
      <c r="NN148" s="24"/>
      <c r="NO148" s="24"/>
      <c r="NP148" s="24"/>
      <c r="NQ148" s="24"/>
      <c r="NR148" s="24"/>
      <c r="NS148" s="24"/>
      <c r="NT148" s="25"/>
      <c r="NU148" s="25"/>
      <c r="NV148" s="25"/>
      <c r="NW148" s="25"/>
      <c r="NX148" s="25"/>
      <c r="NY148" s="25"/>
      <c r="NZ148" s="24"/>
      <c r="OA148" s="24"/>
      <c r="OB148" s="24"/>
      <c r="OC148" s="24"/>
      <c r="OD148" s="24"/>
      <c r="OE148" s="24"/>
      <c r="OF148" s="24"/>
      <c r="OG148" s="24"/>
      <c r="OH148" s="25"/>
      <c r="OI148" s="25"/>
      <c r="OJ148" s="25"/>
      <c r="OK148" s="25"/>
      <c r="OL148" s="25"/>
      <c r="OM148" s="25"/>
      <c r="ON148" s="24"/>
      <c r="OO148" s="24"/>
      <c r="OP148" s="24"/>
      <c r="OQ148" s="24"/>
      <c r="OR148" s="24"/>
      <c r="OS148" s="24"/>
      <c r="OT148" s="24"/>
      <c r="OU148" s="24"/>
      <c r="OV148" s="25"/>
      <c r="OW148" s="25"/>
      <c r="OX148" s="25"/>
      <c r="OY148" s="25"/>
      <c r="OZ148" s="25"/>
      <c r="PA148" s="25"/>
      <c r="PB148" s="24"/>
      <c r="PC148" s="24"/>
      <c r="PD148" s="24"/>
      <c r="PE148" s="24"/>
      <c r="PF148" s="24"/>
      <c r="PG148" s="24"/>
      <c r="PH148" s="24"/>
      <c r="PI148" s="24"/>
      <c r="PJ148" s="25"/>
      <c r="PK148" s="25"/>
      <c r="PL148" s="25"/>
      <c r="PM148" s="25"/>
      <c r="PN148" s="25"/>
      <c r="PO148" s="25"/>
      <c r="PP148" s="24"/>
      <c r="PQ148" s="24"/>
      <c r="PR148" s="24"/>
      <c r="PS148" s="24"/>
      <c r="PT148" s="24"/>
      <c r="PU148" s="24"/>
      <c r="PV148" s="24"/>
      <c r="PW148" s="24"/>
      <c r="PX148" s="25"/>
      <c r="PY148" s="25"/>
      <c r="PZ148" s="25"/>
      <c r="QA148" s="25"/>
      <c r="QB148" s="25"/>
      <c r="QC148" s="25"/>
      <c r="QD148" s="24"/>
      <c r="QE148" s="24"/>
      <c r="QF148" s="24"/>
      <c r="QG148" s="24"/>
      <c r="QH148" s="24"/>
      <c r="QI148" s="24"/>
      <c r="QJ148" s="24"/>
      <c r="QK148" s="24"/>
      <c r="QL148" s="25"/>
      <c r="QM148" s="25"/>
      <c r="QN148" s="25"/>
      <c r="QO148" s="25"/>
      <c r="QP148" s="25"/>
      <c r="QQ148" s="25"/>
      <c r="QR148" s="24"/>
      <c r="QS148" s="24"/>
      <c r="QT148" s="24"/>
      <c r="QU148" s="24"/>
      <c r="QV148" s="24"/>
      <c r="QW148" s="24"/>
      <c r="QX148" s="24"/>
      <c r="QY148" s="24"/>
      <c r="QZ148" s="25"/>
      <c r="RA148" s="25"/>
      <c r="RB148" s="25"/>
      <c r="RC148" s="25"/>
      <c r="RD148" s="25"/>
      <c r="RE148" s="25"/>
      <c r="RF148" s="24"/>
      <c r="RG148" s="24"/>
      <c r="RH148" s="24"/>
      <c r="RI148" s="24"/>
      <c r="RJ148" s="24"/>
      <c r="RK148" s="24"/>
      <c r="RL148" s="24"/>
      <c r="RM148" s="24"/>
      <c r="RN148" s="25"/>
      <c r="RO148" s="25"/>
      <c r="RP148" s="25"/>
      <c r="RQ148" s="25"/>
      <c r="RR148" s="25"/>
      <c r="RS148" s="25"/>
      <c r="RT148" s="24"/>
      <c r="RU148" s="24"/>
      <c r="RV148" s="24"/>
      <c r="RW148" s="24"/>
      <c r="RX148" s="24"/>
      <c r="RY148" s="24"/>
      <c r="RZ148" s="24"/>
    </row>
    <row r="149" spans="1:494" ht="86.25" customHeight="1" x14ac:dyDescent="0.3">
      <c r="A149" s="22" t="s">
        <v>135</v>
      </c>
      <c r="B149" s="2" t="s">
        <v>23</v>
      </c>
      <c r="C149" s="2" t="s">
        <v>6</v>
      </c>
      <c r="D149" s="46">
        <f t="shared" si="45"/>
        <v>229884</v>
      </c>
      <c r="E149" s="46">
        <v>0</v>
      </c>
      <c r="F149" s="46">
        <v>0</v>
      </c>
      <c r="G149" s="46">
        <v>0</v>
      </c>
      <c r="H149" s="46">
        <v>0</v>
      </c>
      <c r="I149" s="46">
        <v>0</v>
      </c>
      <c r="J149" s="34">
        <v>229884</v>
      </c>
      <c r="K149" s="67">
        <v>0</v>
      </c>
      <c r="L149" s="46">
        <v>0</v>
      </c>
      <c r="M149" s="46">
        <v>0</v>
      </c>
      <c r="N149" s="24"/>
      <c r="O149" s="24"/>
      <c r="P149" s="24"/>
      <c r="Q149" s="24"/>
      <c r="R149" s="24"/>
      <c r="S149" s="24"/>
      <c r="T149" s="25"/>
      <c r="U149" s="25"/>
      <c r="V149" s="25"/>
      <c r="W149" s="25"/>
      <c r="X149" s="25"/>
      <c r="Y149" s="25"/>
      <c r="Z149" s="24"/>
      <c r="AA149" s="24"/>
      <c r="AB149" s="24"/>
      <c r="AC149" s="24"/>
      <c r="AD149" s="24"/>
      <c r="AE149" s="24"/>
      <c r="AF149" s="24"/>
      <c r="AG149" s="24"/>
      <c r="AH149" s="25"/>
      <c r="AI149" s="25"/>
      <c r="AJ149" s="25"/>
      <c r="AK149" s="25"/>
      <c r="AL149" s="25"/>
      <c r="AM149" s="25"/>
      <c r="AN149" s="24"/>
      <c r="AO149" s="24"/>
      <c r="AP149" s="24"/>
      <c r="AQ149" s="24"/>
      <c r="AR149" s="24"/>
      <c r="AS149" s="24"/>
      <c r="AT149" s="24"/>
      <c r="AU149" s="24"/>
      <c r="AV149" s="25"/>
      <c r="AW149" s="25"/>
      <c r="AX149" s="25"/>
      <c r="AY149" s="25"/>
      <c r="AZ149" s="25"/>
      <c r="BA149" s="25"/>
      <c r="BB149" s="24"/>
      <c r="BC149" s="24"/>
      <c r="BD149" s="24"/>
      <c r="BE149" s="24"/>
      <c r="BF149" s="24"/>
      <c r="BG149" s="24"/>
      <c r="BH149" s="24"/>
      <c r="BI149" s="24"/>
      <c r="BJ149" s="25"/>
      <c r="BK149" s="25"/>
      <c r="BL149" s="25"/>
      <c r="BM149" s="25"/>
      <c r="BN149" s="25"/>
      <c r="BO149" s="25"/>
      <c r="BP149" s="24"/>
      <c r="BQ149" s="24"/>
      <c r="BR149" s="24"/>
      <c r="BS149" s="24"/>
      <c r="BT149" s="24"/>
      <c r="BU149" s="24"/>
      <c r="BV149" s="24"/>
      <c r="BW149" s="24"/>
      <c r="BX149" s="25"/>
      <c r="BY149" s="25"/>
      <c r="BZ149" s="25"/>
      <c r="CA149" s="25"/>
      <c r="CB149" s="25"/>
      <c r="CC149" s="25"/>
      <c r="CD149" s="24"/>
      <c r="CE149" s="24"/>
      <c r="CF149" s="24"/>
      <c r="CG149" s="24"/>
      <c r="CH149" s="24"/>
      <c r="CI149" s="24"/>
      <c r="CJ149" s="24"/>
      <c r="CK149" s="24"/>
      <c r="CL149" s="25"/>
      <c r="CM149" s="25"/>
      <c r="CN149" s="25"/>
      <c r="CO149" s="25"/>
      <c r="CP149" s="25"/>
      <c r="CQ149" s="25"/>
      <c r="CR149" s="24"/>
      <c r="CS149" s="24"/>
      <c r="CT149" s="24"/>
      <c r="CU149" s="24"/>
      <c r="CV149" s="24"/>
      <c r="CW149" s="24"/>
      <c r="CX149" s="24"/>
      <c r="CY149" s="24"/>
      <c r="CZ149" s="25"/>
      <c r="DA149" s="25"/>
      <c r="DB149" s="25"/>
      <c r="DC149" s="25"/>
      <c r="DD149" s="25"/>
      <c r="DE149" s="25"/>
      <c r="DF149" s="24"/>
      <c r="DG149" s="24"/>
      <c r="DH149" s="24"/>
      <c r="DI149" s="24"/>
      <c r="DJ149" s="24"/>
      <c r="DK149" s="24"/>
      <c r="DL149" s="24"/>
      <c r="DM149" s="24"/>
      <c r="DN149" s="25"/>
      <c r="DO149" s="25"/>
      <c r="DP149" s="25"/>
      <c r="DQ149" s="25"/>
      <c r="DR149" s="25"/>
      <c r="DS149" s="25"/>
      <c r="DT149" s="24"/>
      <c r="DU149" s="24"/>
      <c r="DV149" s="24"/>
      <c r="DW149" s="24"/>
      <c r="DX149" s="24"/>
      <c r="DY149" s="24"/>
      <c r="DZ149" s="24"/>
      <c r="EA149" s="24"/>
      <c r="EB149" s="25"/>
      <c r="EC149" s="25"/>
      <c r="ED149" s="25"/>
      <c r="EE149" s="25"/>
      <c r="EF149" s="25"/>
      <c r="EG149" s="25"/>
      <c r="EH149" s="24"/>
      <c r="EI149" s="24"/>
      <c r="EJ149" s="24"/>
      <c r="EK149" s="24"/>
      <c r="EL149" s="24"/>
      <c r="EM149" s="24"/>
      <c r="EN149" s="24"/>
      <c r="EO149" s="24"/>
      <c r="EP149" s="25"/>
      <c r="EQ149" s="25"/>
      <c r="ER149" s="25"/>
      <c r="ES149" s="25"/>
      <c r="ET149" s="25"/>
      <c r="EU149" s="25"/>
      <c r="EV149" s="24"/>
      <c r="EW149" s="24"/>
      <c r="EX149" s="24"/>
      <c r="EY149" s="24"/>
      <c r="EZ149" s="24"/>
      <c r="FA149" s="24"/>
      <c r="FB149" s="24"/>
      <c r="FC149" s="24"/>
      <c r="FD149" s="25"/>
      <c r="FE149" s="25"/>
      <c r="FF149" s="25"/>
      <c r="FG149" s="25"/>
      <c r="FH149" s="25"/>
      <c r="FI149" s="25"/>
      <c r="FJ149" s="24"/>
      <c r="FK149" s="24"/>
      <c r="FL149" s="24"/>
      <c r="FM149" s="24"/>
      <c r="FN149" s="24"/>
      <c r="FO149" s="24"/>
      <c r="FP149" s="24"/>
      <c r="FQ149" s="24"/>
      <c r="FR149" s="25"/>
      <c r="FS149" s="25"/>
      <c r="FT149" s="25"/>
      <c r="FU149" s="25"/>
      <c r="FV149" s="25"/>
      <c r="FW149" s="25"/>
      <c r="FX149" s="24"/>
      <c r="FY149" s="24"/>
      <c r="FZ149" s="24"/>
      <c r="GA149" s="24"/>
      <c r="GB149" s="24"/>
      <c r="GC149" s="24"/>
      <c r="GD149" s="24"/>
      <c r="GE149" s="24"/>
      <c r="GF149" s="25"/>
      <c r="GG149" s="25"/>
      <c r="GH149" s="25"/>
      <c r="GI149" s="25"/>
      <c r="GJ149" s="25"/>
      <c r="GK149" s="25"/>
      <c r="GL149" s="24"/>
      <c r="GM149" s="24"/>
      <c r="GN149" s="24"/>
      <c r="GO149" s="24"/>
      <c r="GP149" s="24"/>
      <c r="GQ149" s="24"/>
      <c r="GR149" s="24"/>
      <c r="GS149" s="24"/>
      <c r="GT149" s="25"/>
      <c r="GU149" s="25"/>
      <c r="GV149" s="25"/>
      <c r="GW149" s="25"/>
      <c r="GX149" s="25"/>
      <c r="GY149" s="25"/>
      <c r="GZ149" s="24"/>
      <c r="HA149" s="24"/>
      <c r="HB149" s="24"/>
      <c r="HC149" s="24"/>
      <c r="HD149" s="24"/>
      <c r="HE149" s="24"/>
      <c r="HF149" s="24"/>
      <c r="HG149" s="24"/>
      <c r="HH149" s="25"/>
      <c r="HI149" s="25"/>
      <c r="HJ149" s="25"/>
      <c r="HK149" s="25"/>
      <c r="HL149" s="25"/>
      <c r="HM149" s="25"/>
      <c r="HN149" s="24"/>
      <c r="HO149" s="24"/>
      <c r="HP149" s="24"/>
      <c r="HQ149" s="24"/>
      <c r="HR149" s="24"/>
      <c r="HS149" s="24"/>
      <c r="HT149" s="24"/>
      <c r="HU149" s="24"/>
      <c r="HV149" s="25"/>
      <c r="HW149" s="25"/>
      <c r="HX149" s="25"/>
      <c r="HY149" s="25"/>
      <c r="HZ149" s="25"/>
      <c r="IA149" s="25"/>
      <c r="IB149" s="24"/>
      <c r="IC149" s="24"/>
      <c r="ID149" s="24"/>
      <c r="IE149" s="24"/>
      <c r="IF149" s="24"/>
      <c r="IG149" s="24"/>
      <c r="IH149" s="24"/>
      <c r="II149" s="24"/>
      <c r="IJ149" s="25"/>
      <c r="IK149" s="25"/>
      <c r="IL149" s="25"/>
      <c r="IM149" s="25"/>
      <c r="IN149" s="25"/>
      <c r="IO149" s="25"/>
      <c r="IP149" s="24"/>
      <c r="IQ149" s="24"/>
      <c r="IR149" s="24"/>
      <c r="IS149" s="24"/>
      <c r="IT149" s="24"/>
      <c r="IU149" s="24"/>
      <c r="IV149" s="24"/>
      <c r="IW149" s="24"/>
      <c r="IX149" s="25"/>
      <c r="IY149" s="25"/>
      <c r="IZ149" s="25"/>
      <c r="JA149" s="25"/>
      <c r="JB149" s="25"/>
      <c r="JC149" s="25"/>
      <c r="JD149" s="24"/>
      <c r="JE149" s="24"/>
      <c r="JF149" s="24"/>
      <c r="JG149" s="24"/>
      <c r="JH149" s="24"/>
      <c r="JI149" s="24"/>
      <c r="JJ149" s="24"/>
      <c r="JK149" s="24"/>
      <c r="JL149" s="25"/>
      <c r="JM149" s="25"/>
      <c r="JN149" s="25"/>
      <c r="JO149" s="25"/>
      <c r="JP149" s="25"/>
      <c r="JQ149" s="25"/>
      <c r="JR149" s="24"/>
      <c r="JS149" s="24"/>
      <c r="JT149" s="24"/>
      <c r="JU149" s="24"/>
      <c r="JV149" s="24"/>
      <c r="JW149" s="24"/>
      <c r="JX149" s="24"/>
      <c r="JY149" s="24"/>
      <c r="JZ149" s="25"/>
      <c r="KA149" s="25"/>
      <c r="KB149" s="25"/>
      <c r="KC149" s="25"/>
      <c r="KD149" s="25"/>
      <c r="KE149" s="25"/>
      <c r="KF149" s="24"/>
      <c r="KG149" s="24"/>
      <c r="KH149" s="24"/>
      <c r="KI149" s="24"/>
      <c r="KJ149" s="24"/>
      <c r="KK149" s="24"/>
      <c r="KL149" s="24"/>
      <c r="KM149" s="24"/>
      <c r="KN149" s="25"/>
      <c r="KO149" s="25"/>
      <c r="KP149" s="25"/>
      <c r="KQ149" s="25"/>
      <c r="KR149" s="25"/>
      <c r="KS149" s="25"/>
      <c r="KT149" s="24"/>
      <c r="KU149" s="24"/>
      <c r="KV149" s="24"/>
      <c r="KW149" s="24"/>
      <c r="KX149" s="24"/>
      <c r="KY149" s="24"/>
      <c r="KZ149" s="24"/>
      <c r="LA149" s="24"/>
      <c r="LB149" s="25"/>
      <c r="LC149" s="25"/>
      <c r="LD149" s="25"/>
      <c r="LE149" s="25"/>
      <c r="LF149" s="25"/>
      <c r="LG149" s="25"/>
      <c r="LH149" s="24"/>
      <c r="LI149" s="24"/>
      <c r="LJ149" s="24"/>
      <c r="LK149" s="24"/>
      <c r="LL149" s="24"/>
      <c r="LM149" s="24"/>
      <c r="LN149" s="24"/>
      <c r="LO149" s="24"/>
      <c r="LP149" s="25"/>
      <c r="LQ149" s="25"/>
      <c r="LR149" s="25"/>
      <c r="LS149" s="25"/>
      <c r="LT149" s="25"/>
      <c r="LU149" s="25"/>
      <c r="LV149" s="24"/>
      <c r="LW149" s="24"/>
      <c r="LX149" s="24"/>
      <c r="LY149" s="24"/>
      <c r="LZ149" s="24"/>
      <c r="MA149" s="24"/>
      <c r="MB149" s="24"/>
      <c r="MC149" s="24"/>
      <c r="MD149" s="25"/>
      <c r="ME149" s="25"/>
      <c r="MF149" s="25"/>
      <c r="MG149" s="25"/>
      <c r="MH149" s="25"/>
      <c r="MI149" s="25"/>
      <c r="MJ149" s="24"/>
      <c r="MK149" s="24"/>
      <c r="ML149" s="24"/>
      <c r="MM149" s="24"/>
      <c r="MN149" s="24"/>
      <c r="MO149" s="24"/>
      <c r="MP149" s="24"/>
      <c r="MQ149" s="24"/>
      <c r="MR149" s="25"/>
      <c r="MS149" s="25"/>
      <c r="MT149" s="25"/>
      <c r="MU149" s="25"/>
      <c r="MV149" s="25"/>
      <c r="MW149" s="25"/>
      <c r="MX149" s="24"/>
      <c r="MY149" s="24"/>
      <c r="MZ149" s="24"/>
      <c r="NA149" s="24"/>
      <c r="NB149" s="24"/>
      <c r="NC149" s="24"/>
      <c r="ND149" s="24"/>
      <c r="NE149" s="24"/>
      <c r="NF149" s="25"/>
      <c r="NG149" s="25"/>
      <c r="NH149" s="25"/>
      <c r="NI149" s="25"/>
      <c r="NJ149" s="25"/>
      <c r="NK149" s="25"/>
      <c r="NL149" s="24"/>
      <c r="NM149" s="24"/>
      <c r="NN149" s="24"/>
      <c r="NO149" s="24"/>
      <c r="NP149" s="24"/>
      <c r="NQ149" s="24"/>
      <c r="NR149" s="24"/>
      <c r="NS149" s="24"/>
      <c r="NT149" s="25"/>
      <c r="NU149" s="25"/>
      <c r="NV149" s="25"/>
      <c r="NW149" s="25"/>
      <c r="NX149" s="25"/>
      <c r="NY149" s="25"/>
      <c r="NZ149" s="24"/>
      <c r="OA149" s="24"/>
      <c r="OB149" s="24"/>
      <c r="OC149" s="24"/>
      <c r="OD149" s="24"/>
      <c r="OE149" s="24"/>
      <c r="OF149" s="24"/>
      <c r="OG149" s="24"/>
      <c r="OH149" s="25"/>
      <c r="OI149" s="25"/>
      <c r="OJ149" s="25"/>
      <c r="OK149" s="25"/>
      <c r="OL149" s="25"/>
      <c r="OM149" s="25"/>
      <c r="ON149" s="24"/>
      <c r="OO149" s="24"/>
      <c r="OP149" s="24"/>
      <c r="OQ149" s="24"/>
      <c r="OR149" s="24"/>
      <c r="OS149" s="24"/>
      <c r="OT149" s="24"/>
      <c r="OU149" s="24"/>
      <c r="OV149" s="25"/>
      <c r="OW149" s="25"/>
      <c r="OX149" s="25"/>
      <c r="OY149" s="25"/>
      <c r="OZ149" s="25"/>
      <c r="PA149" s="25"/>
      <c r="PB149" s="24"/>
      <c r="PC149" s="24"/>
      <c r="PD149" s="24"/>
      <c r="PE149" s="24"/>
      <c r="PF149" s="24"/>
      <c r="PG149" s="24"/>
      <c r="PH149" s="24"/>
      <c r="PI149" s="24"/>
      <c r="PJ149" s="25"/>
      <c r="PK149" s="25"/>
      <c r="PL149" s="25"/>
      <c r="PM149" s="25"/>
      <c r="PN149" s="25"/>
      <c r="PO149" s="25"/>
      <c r="PP149" s="24"/>
      <c r="PQ149" s="24"/>
      <c r="PR149" s="24"/>
      <c r="PS149" s="24"/>
      <c r="PT149" s="24"/>
      <c r="PU149" s="24"/>
      <c r="PV149" s="24"/>
      <c r="PW149" s="24"/>
      <c r="PX149" s="25"/>
      <c r="PY149" s="25"/>
      <c r="PZ149" s="25"/>
      <c r="QA149" s="25"/>
      <c r="QB149" s="25"/>
      <c r="QC149" s="25"/>
      <c r="QD149" s="24"/>
      <c r="QE149" s="24"/>
      <c r="QF149" s="24"/>
      <c r="QG149" s="24"/>
      <c r="QH149" s="24"/>
      <c r="QI149" s="24"/>
      <c r="QJ149" s="24"/>
      <c r="QK149" s="24"/>
      <c r="QL149" s="25"/>
      <c r="QM149" s="25"/>
      <c r="QN149" s="25"/>
      <c r="QO149" s="25"/>
      <c r="QP149" s="25"/>
      <c r="QQ149" s="25"/>
      <c r="QR149" s="24"/>
      <c r="QS149" s="24"/>
      <c r="QT149" s="24"/>
      <c r="QU149" s="24"/>
      <c r="QV149" s="24"/>
      <c r="QW149" s="24"/>
      <c r="QX149" s="24"/>
      <c r="QY149" s="24"/>
      <c r="QZ149" s="25"/>
      <c r="RA149" s="25"/>
      <c r="RB149" s="25"/>
      <c r="RC149" s="25"/>
      <c r="RD149" s="25"/>
      <c r="RE149" s="25"/>
      <c r="RF149" s="24"/>
      <c r="RG149" s="24"/>
      <c r="RH149" s="24"/>
      <c r="RI149" s="24"/>
      <c r="RJ149" s="24"/>
      <c r="RK149" s="24"/>
      <c r="RL149" s="24"/>
      <c r="RM149" s="24"/>
      <c r="RN149" s="25"/>
      <c r="RO149" s="25"/>
      <c r="RP149" s="25"/>
      <c r="RQ149" s="25"/>
      <c r="RR149" s="25"/>
      <c r="RS149" s="25"/>
      <c r="RT149" s="24"/>
      <c r="RU149" s="24"/>
      <c r="RV149" s="24"/>
      <c r="RW149" s="24"/>
      <c r="RX149" s="24"/>
      <c r="RY149" s="24"/>
      <c r="RZ149" s="24"/>
    </row>
    <row r="150" spans="1:494" ht="86.25" customHeight="1" x14ac:dyDescent="0.3">
      <c r="A150" s="22" t="s">
        <v>136</v>
      </c>
      <c r="B150" s="2" t="s">
        <v>23</v>
      </c>
      <c r="C150" s="2" t="s">
        <v>6</v>
      </c>
      <c r="D150" s="46">
        <f t="shared" si="45"/>
        <v>35500</v>
      </c>
      <c r="E150" s="46">
        <v>0</v>
      </c>
      <c r="F150" s="46">
        <v>0</v>
      </c>
      <c r="G150" s="46">
        <v>0</v>
      </c>
      <c r="H150" s="46">
        <v>0</v>
      </c>
      <c r="I150" s="46">
        <v>0</v>
      </c>
      <c r="J150" s="46">
        <v>35500</v>
      </c>
      <c r="K150" s="67">
        <v>0</v>
      </c>
      <c r="L150" s="46">
        <v>0</v>
      </c>
      <c r="M150" s="46">
        <v>0</v>
      </c>
      <c r="N150" s="24"/>
      <c r="O150" s="24"/>
      <c r="P150" s="24"/>
      <c r="Q150" s="24"/>
      <c r="R150" s="24"/>
      <c r="S150" s="24"/>
      <c r="T150" s="25"/>
      <c r="U150" s="25"/>
      <c r="V150" s="25"/>
      <c r="W150" s="25"/>
      <c r="X150" s="25"/>
      <c r="Y150" s="25"/>
      <c r="Z150" s="24"/>
      <c r="AA150" s="24"/>
      <c r="AB150" s="24"/>
      <c r="AC150" s="24"/>
      <c r="AD150" s="24"/>
      <c r="AE150" s="24"/>
      <c r="AF150" s="24"/>
      <c r="AG150" s="24"/>
      <c r="AH150" s="25"/>
      <c r="AI150" s="25"/>
      <c r="AJ150" s="25"/>
      <c r="AK150" s="25"/>
      <c r="AL150" s="25"/>
      <c r="AM150" s="25"/>
      <c r="AN150" s="24"/>
      <c r="AO150" s="24"/>
      <c r="AP150" s="24"/>
      <c r="AQ150" s="24"/>
      <c r="AR150" s="24"/>
      <c r="AS150" s="24"/>
      <c r="AT150" s="24"/>
      <c r="AU150" s="24"/>
      <c r="AV150" s="25"/>
      <c r="AW150" s="25"/>
      <c r="AX150" s="25"/>
      <c r="AY150" s="25"/>
      <c r="AZ150" s="25"/>
      <c r="BA150" s="25"/>
      <c r="BB150" s="24"/>
      <c r="BC150" s="24"/>
      <c r="BD150" s="24"/>
      <c r="BE150" s="24"/>
      <c r="BF150" s="24"/>
      <c r="BG150" s="24"/>
      <c r="BH150" s="24"/>
      <c r="BI150" s="24"/>
      <c r="BJ150" s="25"/>
      <c r="BK150" s="25"/>
      <c r="BL150" s="25"/>
      <c r="BM150" s="25"/>
      <c r="BN150" s="25"/>
      <c r="BO150" s="25"/>
      <c r="BP150" s="24"/>
      <c r="BQ150" s="24"/>
      <c r="BR150" s="24"/>
      <c r="BS150" s="24"/>
      <c r="BT150" s="24"/>
      <c r="BU150" s="24"/>
      <c r="BV150" s="24"/>
      <c r="BW150" s="24"/>
      <c r="BX150" s="25"/>
      <c r="BY150" s="25"/>
      <c r="BZ150" s="25"/>
      <c r="CA150" s="25"/>
      <c r="CB150" s="25"/>
      <c r="CC150" s="25"/>
      <c r="CD150" s="24"/>
      <c r="CE150" s="24"/>
      <c r="CF150" s="24"/>
      <c r="CG150" s="24"/>
      <c r="CH150" s="24"/>
      <c r="CI150" s="24"/>
      <c r="CJ150" s="24"/>
      <c r="CK150" s="24"/>
      <c r="CL150" s="25"/>
      <c r="CM150" s="25"/>
      <c r="CN150" s="25"/>
      <c r="CO150" s="25"/>
      <c r="CP150" s="25"/>
      <c r="CQ150" s="25"/>
      <c r="CR150" s="24"/>
      <c r="CS150" s="24"/>
      <c r="CT150" s="24"/>
      <c r="CU150" s="24"/>
      <c r="CV150" s="24"/>
      <c r="CW150" s="24"/>
      <c r="CX150" s="24"/>
      <c r="CY150" s="24"/>
      <c r="CZ150" s="25"/>
      <c r="DA150" s="25"/>
      <c r="DB150" s="25"/>
      <c r="DC150" s="25"/>
      <c r="DD150" s="25"/>
      <c r="DE150" s="25"/>
      <c r="DF150" s="24"/>
      <c r="DG150" s="24"/>
      <c r="DH150" s="24"/>
      <c r="DI150" s="24"/>
      <c r="DJ150" s="24"/>
      <c r="DK150" s="24"/>
      <c r="DL150" s="24"/>
      <c r="DM150" s="24"/>
      <c r="DN150" s="25"/>
      <c r="DO150" s="25"/>
      <c r="DP150" s="25"/>
      <c r="DQ150" s="25"/>
      <c r="DR150" s="25"/>
      <c r="DS150" s="25"/>
      <c r="DT150" s="24"/>
      <c r="DU150" s="24"/>
      <c r="DV150" s="24"/>
      <c r="DW150" s="24"/>
      <c r="DX150" s="24"/>
      <c r="DY150" s="24"/>
      <c r="DZ150" s="24"/>
      <c r="EA150" s="24"/>
      <c r="EB150" s="25"/>
      <c r="EC150" s="25"/>
      <c r="ED150" s="25"/>
      <c r="EE150" s="25"/>
      <c r="EF150" s="25"/>
      <c r="EG150" s="25"/>
      <c r="EH150" s="24"/>
      <c r="EI150" s="24"/>
      <c r="EJ150" s="24"/>
      <c r="EK150" s="24"/>
      <c r="EL150" s="24"/>
      <c r="EM150" s="24"/>
      <c r="EN150" s="24"/>
      <c r="EO150" s="24"/>
      <c r="EP150" s="25"/>
      <c r="EQ150" s="25"/>
      <c r="ER150" s="25"/>
      <c r="ES150" s="25"/>
      <c r="ET150" s="25"/>
      <c r="EU150" s="25"/>
      <c r="EV150" s="24"/>
      <c r="EW150" s="24"/>
      <c r="EX150" s="24"/>
      <c r="EY150" s="24"/>
      <c r="EZ150" s="24"/>
      <c r="FA150" s="24"/>
      <c r="FB150" s="24"/>
      <c r="FC150" s="24"/>
      <c r="FD150" s="25"/>
      <c r="FE150" s="25"/>
      <c r="FF150" s="25"/>
      <c r="FG150" s="25"/>
      <c r="FH150" s="25"/>
      <c r="FI150" s="25"/>
      <c r="FJ150" s="24"/>
      <c r="FK150" s="24"/>
      <c r="FL150" s="24"/>
      <c r="FM150" s="24"/>
      <c r="FN150" s="24"/>
      <c r="FO150" s="24"/>
      <c r="FP150" s="24"/>
      <c r="FQ150" s="24"/>
      <c r="FR150" s="25"/>
      <c r="FS150" s="25"/>
      <c r="FT150" s="25"/>
      <c r="FU150" s="25"/>
      <c r="FV150" s="25"/>
      <c r="FW150" s="25"/>
      <c r="FX150" s="24"/>
      <c r="FY150" s="24"/>
      <c r="FZ150" s="24"/>
      <c r="GA150" s="24"/>
      <c r="GB150" s="24"/>
      <c r="GC150" s="24"/>
      <c r="GD150" s="24"/>
      <c r="GE150" s="24"/>
      <c r="GF150" s="25"/>
      <c r="GG150" s="25"/>
      <c r="GH150" s="25"/>
      <c r="GI150" s="25"/>
      <c r="GJ150" s="25"/>
      <c r="GK150" s="25"/>
      <c r="GL150" s="24"/>
      <c r="GM150" s="24"/>
      <c r="GN150" s="24"/>
      <c r="GO150" s="24"/>
      <c r="GP150" s="24"/>
      <c r="GQ150" s="24"/>
      <c r="GR150" s="24"/>
      <c r="GS150" s="24"/>
      <c r="GT150" s="25"/>
      <c r="GU150" s="25"/>
      <c r="GV150" s="25"/>
      <c r="GW150" s="25"/>
      <c r="GX150" s="25"/>
      <c r="GY150" s="25"/>
      <c r="GZ150" s="24"/>
      <c r="HA150" s="24"/>
      <c r="HB150" s="24"/>
      <c r="HC150" s="24"/>
      <c r="HD150" s="24"/>
      <c r="HE150" s="24"/>
      <c r="HF150" s="24"/>
      <c r="HG150" s="24"/>
      <c r="HH150" s="25"/>
      <c r="HI150" s="25"/>
      <c r="HJ150" s="25"/>
      <c r="HK150" s="25"/>
      <c r="HL150" s="25"/>
      <c r="HM150" s="25"/>
      <c r="HN150" s="24"/>
      <c r="HO150" s="24"/>
      <c r="HP150" s="24"/>
      <c r="HQ150" s="24"/>
      <c r="HR150" s="24"/>
      <c r="HS150" s="24"/>
      <c r="HT150" s="24"/>
      <c r="HU150" s="24"/>
      <c r="HV150" s="25"/>
      <c r="HW150" s="25"/>
      <c r="HX150" s="25"/>
      <c r="HY150" s="25"/>
      <c r="HZ150" s="25"/>
      <c r="IA150" s="25"/>
      <c r="IB150" s="24"/>
      <c r="IC150" s="24"/>
      <c r="ID150" s="24"/>
      <c r="IE150" s="24"/>
      <c r="IF150" s="24"/>
      <c r="IG150" s="24"/>
      <c r="IH150" s="24"/>
      <c r="II150" s="24"/>
      <c r="IJ150" s="25"/>
      <c r="IK150" s="25"/>
      <c r="IL150" s="25"/>
      <c r="IM150" s="25"/>
      <c r="IN150" s="25"/>
      <c r="IO150" s="25"/>
      <c r="IP150" s="24"/>
      <c r="IQ150" s="24"/>
      <c r="IR150" s="24"/>
      <c r="IS150" s="24"/>
      <c r="IT150" s="24"/>
      <c r="IU150" s="24"/>
      <c r="IV150" s="24"/>
      <c r="IW150" s="24"/>
      <c r="IX150" s="25"/>
      <c r="IY150" s="25"/>
      <c r="IZ150" s="25"/>
      <c r="JA150" s="25"/>
      <c r="JB150" s="25"/>
      <c r="JC150" s="25"/>
      <c r="JD150" s="24"/>
      <c r="JE150" s="24"/>
      <c r="JF150" s="24"/>
      <c r="JG150" s="24"/>
      <c r="JH150" s="24"/>
      <c r="JI150" s="24"/>
      <c r="JJ150" s="24"/>
      <c r="JK150" s="24"/>
      <c r="JL150" s="25"/>
      <c r="JM150" s="25"/>
      <c r="JN150" s="25"/>
      <c r="JO150" s="25"/>
      <c r="JP150" s="25"/>
      <c r="JQ150" s="25"/>
      <c r="JR150" s="24"/>
      <c r="JS150" s="24"/>
      <c r="JT150" s="24"/>
      <c r="JU150" s="24"/>
      <c r="JV150" s="24"/>
      <c r="JW150" s="24"/>
      <c r="JX150" s="24"/>
      <c r="JY150" s="24"/>
      <c r="JZ150" s="25"/>
      <c r="KA150" s="25"/>
      <c r="KB150" s="25"/>
      <c r="KC150" s="25"/>
      <c r="KD150" s="25"/>
      <c r="KE150" s="25"/>
      <c r="KF150" s="24"/>
      <c r="KG150" s="24"/>
      <c r="KH150" s="24"/>
      <c r="KI150" s="24"/>
      <c r="KJ150" s="24"/>
      <c r="KK150" s="24"/>
      <c r="KL150" s="24"/>
      <c r="KM150" s="24"/>
      <c r="KN150" s="25"/>
      <c r="KO150" s="25"/>
      <c r="KP150" s="25"/>
      <c r="KQ150" s="25"/>
      <c r="KR150" s="25"/>
      <c r="KS150" s="25"/>
      <c r="KT150" s="24"/>
      <c r="KU150" s="24"/>
      <c r="KV150" s="24"/>
      <c r="KW150" s="24"/>
      <c r="KX150" s="24"/>
      <c r="KY150" s="24"/>
      <c r="KZ150" s="24"/>
      <c r="LA150" s="24"/>
      <c r="LB150" s="25"/>
      <c r="LC150" s="25"/>
      <c r="LD150" s="25"/>
      <c r="LE150" s="25"/>
      <c r="LF150" s="25"/>
      <c r="LG150" s="25"/>
      <c r="LH150" s="24"/>
      <c r="LI150" s="24"/>
      <c r="LJ150" s="24"/>
      <c r="LK150" s="24"/>
      <c r="LL150" s="24"/>
      <c r="LM150" s="24"/>
      <c r="LN150" s="24"/>
      <c r="LO150" s="24"/>
      <c r="LP150" s="25"/>
      <c r="LQ150" s="25"/>
      <c r="LR150" s="25"/>
      <c r="LS150" s="25"/>
      <c r="LT150" s="25"/>
      <c r="LU150" s="25"/>
      <c r="LV150" s="24"/>
      <c r="LW150" s="24"/>
      <c r="LX150" s="24"/>
      <c r="LY150" s="24"/>
      <c r="LZ150" s="24"/>
      <c r="MA150" s="24"/>
      <c r="MB150" s="24"/>
      <c r="MC150" s="24"/>
      <c r="MD150" s="25"/>
      <c r="ME150" s="25"/>
      <c r="MF150" s="25"/>
      <c r="MG150" s="25"/>
      <c r="MH150" s="25"/>
      <c r="MI150" s="25"/>
      <c r="MJ150" s="24"/>
      <c r="MK150" s="24"/>
      <c r="ML150" s="24"/>
      <c r="MM150" s="24"/>
      <c r="MN150" s="24"/>
      <c r="MO150" s="24"/>
      <c r="MP150" s="24"/>
      <c r="MQ150" s="24"/>
      <c r="MR150" s="25"/>
      <c r="MS150" s="25"/>
      <c r="MT150" s="25"/>
      <c r="MU150" s="25"/>
      <c r="MV150" s="25"/>
      <c r="MW150" s="25"/>
      <c r="MX150" s="24"/>
      <c r="MY150" s="24"/>
      <c r="MZ150" s="24"/>
      <c r="NA150" s="24"/>
      <c r="NB150" s="24"/>
      <c r="NC150" s="24"/>
      <c r="ND150" s="24"/>
      <c r="NE150" s="24"/>
      <c r="NF150" s="25"/>
      <c r="NG150" s="25"/>
      <c r="NH150" s="25"/>
      <c r="NI150" s="25"/>
      <c r="NJ150" s="25"/>
      <c r="NK150" s="25"/>
      <c r="NL150" s="24"/>
      <c r="NM150" s="24"/>
      <c r="NN150" s="24"/>
      <c r="NO150" s="24"/>
      <c r="NP150" s="24"/>
      <c r="NQ150" s="24"/>
      <c r="NR150" s="24"/>
      <c r="NS150" s="24"/>
      <c r="NT150" s="25"/>
      <c r="NU150" s="25"/>
      <c r="NV150" s="25"/>
      <c r="NW150" s="25"/>
      <c r="NX150" s="25"/>
      <c r="NY150" s="25"/>
      <c r="NZ150" s="24"/>
      <c r="OA150" s="24"/>
      <c r="OB150" s="24"/>
      <c r="OC150" s="24"/>
      <c r="OD150" s="24"/>
      <c r="OE150" s="24"/>
      <c r="OF150" s="24"/>
      <c r="OG150" s="24"/>
      <c r="OH150" s="25"/>
      <c r="OI150" s="25"/>
      <c r="OJ150" s="25"/>
      <c r="OK150" s="25"/>
      <c r="OL150" s="25"/>
      <c r="OM150" s="25"/>
      <c r="ON150" s="24"/>
      <c r="OO150" s="24"/>
      <c r="OP150" s="24"/>
      <c r="OQ150" s="24"/>
      <c r="OR150" s="24"/>
      <c r="OS150" s="24"/>
      <c r="OT150" s="24"/>
      <c r="OU150" s="24"/>
      <c r="OV150" s="25"/>
      <c r="OW150" s="25"/>
      <c r="OX150" s="25"/>
      <c r="OY150" s="25"/>
      <c r="OZ150" s="25"/>
      <c r="PA150" s="25"/>
      <c r="PB150" s="24"/>
      <c r="PC150" s="24"/>
      <c r="PD150" s="24"/>
      <c r="PE150" s="24"/>
      <c r="PF150" s="24"/>
      <c r="PG150" s="24"/>
      <c r="PH150" s="24"/>
      <c r="PI150" s="24"/>
      <c r="PJ150" s="25"/>
      <c r="PK150" s="25"/>
      <c r="PL150" s="25"/>
      <c r="PM150" s="25"/>
      <c r="PN150" s="25"/>
      <c r="PO150" s="25"/>
      <c r="PP150" s="24"/>
      <c r="PQ150" s="24"/>
      <c r="PR150" s="24"/>
      <c r="PS150" s="24"/>
      <c r="PT150" s="24"/>
      <c r="PU150" s="24"/>
      <c r="PV150" s="24"/>
      <c r="PW150" s="24"/>
      <c r="PX150" s="25"/>
      <c r="PY150" s="25"/>
      <c r="PZ150" s="25"/>
      <c r="QA150" s="25"/>
      <c r="QB150" s="25"/>
      <c r="QC150" s="25"/>
      <c r="QD150" s="24"/>
      <c r="QE150" s="24"/>
      <c r="QF150" s="24"/>
      <c r="QG150" s="24"/>
      <c r="QH150" s="24"/>
      <c r="QI150" s="24"/>
      <c r="QJ150" s="24"/>
      <c r="QK150" s="24"/>
      <c r="QL150" s="25"/>
      <c r="QM150" s="25"/>
      <c r="QN150" s="25"/>
      <c r="QO150" s="25"/>
      <c r="QP150" s="25"/>
      <c r="QQ150" s="25"/>
      <c r="QR150" s="24"/>
      <c r="QS150" s="24"/>
      <c r="QT150" s="24"/>
      <c r="QU150" s="24"/>
      <c r="QV150" s="24"/>
      <c r="QW150" s="24"/>
      <c r="QX150" s="24"/>
      <c r="QY150" s="24"/>
      <c r="QZ150" s="25"/>
      <c r="RA150" s="25"/>
      <c r="RB150" s="25"/>
      <c r="RC150" s="25"/>
      <c r="RD150" s="25"/>
      <c r="RE150" s="25"/>
      <c r="RF150" s="24"/>
      <c r="RG150" s="24"/>
      <c r="RH150" s="24"/>
      <c r="RI150" s="24"/>
      <c r="RJ150" s="24"/>
      <c r="RK150" s="24"/>
      <c r="RL150" s="24"/>
      <c r="RM150" s="24"/>
      <c r="RN150" s="25"/>
      <c r="RO150" s="25"/>
      <c r="RP150" s="25"/>
      <c r="RQ150" s="25"/>
      <c r="RR150" s="25"/>
      <c r="RS150" s="25"/>
      <c r="RT150" s="24"/>
      <c r="RU150" s="24"/>
      <c r="RV150" s="24"/>
      <c r="RW150" s="24"/>
      <c r="RX150" s="24"/>
      <c r="RY150" s="24"/>
      <c r="RZ150" s="24"/>
    </row>
    <row r="151" spans="1:494" ht="35.25" customHeight="1" x14ac:dyDescent="0.3">
      <c r="A151" s="70"/>
      <c r="B151" s="71"/>
      <c r="C151" s="71"/>
      <c r="D151" s="37"/>
      <c r="E151" s="37"/>
      <c r="F151" s="37"/>
      <c r="G151" s="37"/>
      <c r="H151" s="37"/>
      <c r="I151" s="37"/>
      <c r="J151" s="37"/>
      <c r="K151" s="72"/>
      <c r="L151" s="37"/>
      <c r="N151" s="24"/>
      <c r="O151" s="24"/>
      <c r="P151" s="24"/>
      <c r="Q151" s="24"/>
      <c r="R151" s="24"/>
      <c r="S151" s="24"/>
      <c r="T151" s="25"/>
      <c r="U151" s="25"/>
      <c r="V151" s="25"/>
      <c r="W151" s="25"/>
      <c r="X151" s="25"/>
      <c r="Y151" s="25"/>
      <c r="Z151" s="24"/>
      <c r="AA151" s="24"/>
      <c r="AB151" s="24"/>
      <c r="AC151" s="24"/>
      <c r="AD151" s="24"/>
      <c r="AE151" s="24"/>
      <c r="AF151" s="24"/>
      <c r="AG151" s="24"/>
      <c r="AH151" s="25"/>
      <c r="AI151" s="25"/>
      <c r="AJ151" s="25"/>
      <c r="AK151" s="25"/>
      <c r="AL151" s="25"/>
      <c r="AM151" s="25"/>
      <c r="AN151" s="24"/>
      <c r="AO151" s="24"/>
      <c r="AP151" s="24"/>
      <c r="AQ151" s="24"/>
      <c r="AR151" s="24"/>
      <c r="AS151" s="24"/>
      <c r="AT151" s="24"/>
      <c r="AU151" s="24"/>
      <c r="AV151" s="25"/>
      <c r="AW151" s="25"/>
      <c r="AX151" s="25"/>
      <c r="AY151" s="25"/>
      <c r="AZ151" s="25"/>
      <c r="BA151" s="25"/>
      <c r="BB151" s="24"/>
      <c r="BC151" s="24"/>
      <c r="BD151" s="24"/>
      <c r="BE151" s="24"/>
      <c r="BF151" s="24"/>
      <c r="BG151" s="24"/>
      <c r="BH151" s="24"/>
      <c r="BI151" s="24"/>
      <c r="BJ151" s="25"/>
      <c r="BK151" s="25"/>
      <c r="BL151" s="25"/>
      <c r="BM151" s="25"/>
      <c r="BN151" s="25"/>
      <c r="BO151" s="25"/>
      <c r="BP151" s="24"/>
      <c r="BQ151" s="24"/>
      <c r="BR151" s="24"/>
      <c r="BS151" s="24"/>
      <c r="BT151" s="24"/>
      <c r="BU151" s="24"/>
      <c r="BV151" s="24"/>
      <c r="BW151" s="24"/>
      <c r="BX151" s="25"/>
      <c r="BY151" s="25"/>
      <c r="BZ151" s="25"/>
      <c r="CA151" s="25"/>
      <c r="CB151" s="25"/>
      <c r="CC151" s="25"/>
      <c r="CD151" s="24"/>
      <c r="CE151" s="24"/>
      <c r="CF151" s="24"/>
      <c r="CG151" s="24"/>
      <c r="CH151" s="24"/>
      <c r="CI151" s="24"/>
      <c r="CJ151" s="24"/>
      <c r="CK151" s="24"/>
      <c r="CL151" s="25"/>
      <c r="CM151" s="25"/>
      <c r="CN151" s="25"/>
      <c r="CO151" s="25"/>
      <c r="CP151" s="25"/>
      <c r="CQ151" s="25"/>
      <c r="CR151" s="24"/>
      <c r="CS151" s="24"/>
      <c r="CT151" s="24"/>
      <c r="CU151" s="24"/>
      <c r="CV151" s="24"/>
      <c r="CW151" s="24"/>
      <c r="CX151" s="24"/>
      <c r="CY151" s="24"/>
      <c r="CZ151" s="25"/>
      <c r="DA151" s="25"/>
      <c r="DB151" s="25"/>
      <c r="DC151" s="25"/>
      <c r="DD151" s="25"/>
      <c r="DE151" s="25"/>
      <c r="DF151" s="24"/>
      <c r="DG151" s="24"/>
      <c r="DH151" s="24"/>
      <c r="DI151" s="24"/>
      <c r="DJ151" s="24"/>
      <c r="DK151" s="24"/>
      <c r="DL151" s="24"/>
      <c r="DM151" s="24"/>
      <c r="DN151" s="25"/>
      <c r="DO151" s="25"/>
      <c r="DP151" s="25"/>
      <c r="DQ151" s="25"/>
      <c r="DR151" s="25"/>
      <c r="DS151" s="25"/>
      <c r="DT151" s="24"/>
      <c r="DU151" s="24"/>
      <c r="DV151" s="24"/>
      <c r="DW151" s="24"/>
      <c r="DX151" s="24"/>
      <c r="DY151" s="24"/>
      <c r="DZ151" s="24"/>
      <c r="EA151" s="24"/>
      <c r="EB151" s="25"/>
      <c r="EC151" s="25"/>
      <c r="ED151" s="25"/>
      <c r="EE151" s="25"/>
      <c r="EF151" s="25"/>
      <c r="EG151" s="25"/>
      <c r="EH151" s="24"/>
      <c r="EI151" s="24"/>
      <c r="EJ151" s="24"/>
      <c r="EK151" s="24"/>
      <c r="EL151" s="24"/>
      <c r="EM151" s="24"/>
      <c r="EN151" s="24"/>
      <c r="EO151" s="24"/>
      <c r="EP151" s="25"/>
      <c r="EQ151" s="25"/>
      <c r="ER151" s="25"/>
      <c r="ES151" s="25"/>
      <c r="ET151" s="25"/>
      <c r="EU151" s="25"/>
      <c r="EV151" s="24"/>
      <c r="EW151" s="24"/>
      <c r="EX151" s="24"/>
      <c r="EY151" s="24"/>
      <c r="EZ151" s="24"/>
      <c r="FA151" s="24"/>
      <c r="FB151" s="24"/>
      <c r="FC151" s="24"/>
      <c r="FD151" s="25"/>
      <c r="FE151" s="25"/>
      <c r="FF151" s="25"/>
      <c r="FG151" s="25"/>
      <c r="FH151" s="25"/>
      <c r="FI151" s="25"/>
      <c r="FJ151" s="24"/>
      <c r="FK151" s="24"/>
      <c r="FL151" s="24"/>
      <c r="FM151" s="24"/>
      <c r="FN151" s="24"/>
      <c r="FO151" s="24"/>
      <c r="FP151" s="24"/>
      <c r="FQ151" s="24"/>
      <c r="FR151" s="25"/>
      <c r="FS151" s="25"/>
      <c r="FT151" s="25"/>
      <c r="FU151" s="25"/>
      <c r="FV151" s="25"/>
      <c r="FW151" s="25"/>
      <c r="FX151" s="24"/>
      <c r="FY151" s="24"/>
      <c r="FZ151" s="24"/>
      <c r="GA151" s="24"/>
      <c r="GB151" s="24"/>
      <c r="GC151" s="24"/>
      <c r="GD151" s="24"/>
      <c r="GE151" s="24"/>
      <c r="GF151" s="25"/>
      <c r="GG151" s="25"/>
      <c r="GH151" s="25"/>
      <c r="GI151" s="25"/>
      <c r="GJ151" s="25"/>
      <c r="GK151" s="25"/>
      <c r="GL151" s="24"/>
      <c r="GM151" s="24"/>
      <c r="GN151" s="24"/>
      <c r="GO151" s="24"/>
      <c r="GP151" s="24"/>
      <c r="GQ151" s="24"/>
      <c r="GR151" s="24"/>
      <c r="GS151" s="24"/>
      <c r="GT151" s="25"/>
      <c r="GU151" s="25"/>
      <c r="GV151" s="25"/>
      <c r="GW151" s="25"/>
      <c r="GX151" s="25"/>
      <c r="GY151" s="25"/>
      <c r="GZ151" s="24"/>
      <c r="HA151" s="24"/>
      <c r="HB151" s="24"/>
      <c r="HC151" s="24"/>
      <c r="HD151" s="24"/>
      <c r="HE151" s="24"/>
      <c r="HF151" s="24"/>
      <c r="HG151" s="24"/>
      <c r="HH151" s="25"/>
      <c r="HI151" s="25"/>
      <c r="HJ151" s="25"/>
      <c r="HK151" s="25"/>
      <c r="HL151" s="25"/>
      <c r="HM151" s="25"/>
      <c r="HN151" s="24"/>
      <c r="HO151" s="24"/>
      <c r="HP151" s="24"/>
      <c r="HQ151" s="24"/>
      <c r="HR151" s="24"/>
      <c r="HS151" s="24"/>
      <c r="HT151" s="24"/>
      <c r="HU151" s="24"/>
      <c r="HV151" s="25"/>
      <c r="HW151" s="25"/>
      <c r="HX151" s="25"/>
      <c r="HY151" s="25"/>
      <c r="HZ151" s="25"/>
      <c r="IA151" s="25"/>
      <c r="IB151" s="24"/>
      <c r="IC151" s="24"/>
      <c r="ID151" s="24"/>
      <c r="IE151" s="24"/>
      <c r="IF151" s="24"/>
      <c r="IG151" s="24"/>
      <c r="IH151" s="24"/>
      <c r="II151" s="24"/>
      <c r="IJ151" s="25"/>
      <c r="IK151" s="25"/>
      <c r="IL151" s="25"/>
      <c r="IM151" s="25"/>
      <c r="IN151" s="25"/>
      <c r="IO151" s="25"/>
      <c r="IP151" s="24"/>
      <c r="IQ151" s="24"/>
      <c r="IR151" s="24"/>
      <c r="IS151" s="24"/>
      <c r="IT151" s="24"/>
      <c r="IU151" s="24"/>
      <c r="IV151" s="24"/>
      <c r="IW151" s="24"/>
      <c r="IX151" s="25"/>
      <c r="IY151" s="25"/>
      <c r="IZ151" s="25"/>
      <c r="JA151" s="25"/>
      <c r="JB151" s="25"/>
      <c r="JC151" s="25"/>
      <c r="JD151" s="24"/>
      <c r="JE151" s="24"/>
      <c r="JF151" s="24"/>
      <c r="JG151" s="24"/>
      <c r="JH151" s="24"/>
      <c r="JI151" s="24"/>
      <c r="JJ151" s="24"/>
      <c r="JK151" s="24"/>
      <c r="JL151" s="25"/>
      <c r="JM151" s="25"/>
      <c r="JN151" s="25"/>
      <c r="JO151" s="25"/>
      <c r="JP151" s="25"/>
      <c r="JQ151" s="25"/>
      <c r="JR151" s="24"/>
      <c r="JS151" s="24"/>
      <c r="JT151" s="24"/>
      <c r="JU151" s="24"/>
      <c r="JV151" s="24"/>
      <c r="JW151" s="24"/>
      <c r="JX151" s="24"/>
      <c r="JY151" s="24"/>
      <c r="JZ151" s="25"/>
      <c r="KA151" s="25"/>
      <c r="KB151" s="25"/>
      <c r="KC151" s="25"/>
      <c r="KD151" s="25"/>
      <c r="KE151" s="25"/>
      <c r="KF151" s="24"/>
      <c r="KG151" s="24"/>
      <c r="KH151" s="24"/>
      <c r="KI151" s="24"/>
      <c r="KJ151" s="24"/>
      <c r="KK151" s="24"/>
      <c r="KL151" s="24"/>
      <c r="KM151" s="24"/>
      <c r="KN151" s="25"/>
      <c r="KO151" s="25"/>
      <c r="KP151" s="25"/>
      <c r="KQ151" s="25"/>
      <c r="KR151" s="25"/>
      <c r="KS151" s="25"/>
      <c r="KT151" s="24"/>
      <c r="KU151" s="24"/>
      <c r="KV151" s="24"/>
      <c r="KW151" s="24"/>
      <c r="KX151" s="24"/>
      <c r="KY151" s="24"/>
      <c r="KZ151" s="24"/>
      <c r="LA151" s="24"/>
      <c r="LB151" s="25"/>
      <c r="LC151" s="25"/>
      <c r="LD151" s="25"/>
      <c r="LE151" s="25"/>
      <c r="LF151" s="25"/>
      <c r="LG151" s="25"/>
      <c r="LH151" s="24"/>
      <c r="LI151" s="24"/>
      <c r="LJ151" s="24"/>
      <c r="LK151" s="24"/>
      <c r="LL151" s="24"/>
      <c r="LM151" s="24"/>
      <c r="LN151" s="24"/>
      <c r="LO151" s="24"/>
      <c r="LP151" s="25"/>
      <c r="LQ151" s="25"/>
      <c r="LR151" s="25"/>
      <c r="LS151" s="25"/>
      <c r="LT151" s="25"/>
      <c r="LU151" s="25"/>
      <c r="LV151" s="24"/>
      <c r="LW151" s="24"/>
      <c r="LX151" s="24"/>
      <c r="LY151" s="24"/>
      <c r="LZ151" s="24"/>
      <c r="MA151" s="24"/>
      <c r="MB151" s="24"/>
      <c r="MC151" s="24"/>
      <c r="MD151" s="25"/>
      <c r="ME151" s="25"/>
      <c r="MF151" s="25"/>
      <c r="MG151" s="25"/>
      <c r="MH151" s="25"/>
      <c r="MI151" s="25"/>
      <c r="MJ151" s="24"/>
      <c r="MK151" s="24"/>
      <c r="ML151" s="24"/>
      <c r="MM151" s="24"/>
      <c r="MN151" s="24"/>
      <c r="MO151" s="24"/>
      <c r="MP151" s="24"/>
      <c r="MQ151" s="24"/>
      <c r="MR151" s="25"/>
      <c r="MS151" s="25"/>
      <c r="MT151" s="25"/>
      <c r="MU151" s="25"/>
      <c r="MV151" s="25"/>
      <c r="MW151" s="25"/>
      <c r="MX151" s="24"/>
      <c r="MY151" s="24"/>
      <c r="MZ151" s="24"/>
      <c r="NA151" s="24"/>
      <c r="NB151" s="24"/>
      <c r="NC151" s="24"/>
      <c r="ND151" s="24"/>
      <c r="NE151" s="24"/>
      <c r="NF151" s="25"/>
      <c r="NG151" s="25"/>
      <c r="NH151" s="25"/>
      <c r="NI151" s="25"/>
      <c r="NJ151" s="25"/>
      <c r="NK151" s="25"/>
      <c r="NL151" s="24"/>
      <c r="NM151" s="24"/>
      <c r="NN151" s="24"/>
      <c r="NO151" s="24"/>
      <c r="NP151" s="24"/>
      <c r="NQ151" s="24"/>
      <c r="NR151" s="24"/>
      <c r="NS151" s="24"/>
      <c r="NT151" s="25"/>
      <c r="NU151" s="25"/>
      <c r="NV151" s="25"/>
      <c r="NW151" s="25"/>
      <c r="NX151" s="25"/>
      <c r="NY151" s="25"/>
      <c r="NZ151" s="24"/>
      <c r="OA151" s="24"/>
      <c r="OB151" s="24"/>
      <c r="OC151" s="24"/>
      <c r="OD151" s="24"/>
      <c r="OE151" s="24"/>
      <c r="OF151" s="24"/>
      <c r="OG151" s="24"/>
      <c r="OH151" s="25"/>
      <c r="OI151" s="25"/>
      <c r="OJ151" s="25"/>
      <c r="OK151" s="25"/>
      <c r="OL151" s="25"/>
      <c r="OM151" s="25"/>
      <c r="ON151" s="24"/>
      <c r="OO151" s="24"/>
      <c r="OP151" s="24"/>
      <c r="OQ151" s="24"/>
      <c r="OR151" s="24"/>
      <c r="OS151" s="24"/>
      <c r="OT151" s="24"/>
      <c r="OU151" s="24"/>
      <c r="OV151" s="25"/>
      <c r="OW151" s="25"/>
      <c r="OX151" s="25"/>
      <c r="OY151" s="25"/>
      <c r="OZ151" s="25"/>
      <c r="PA151" s="25"/>
      <c r="PB151" s="24"/>
      <c r="PC151" s="24"/>
      <c r="PD151" s="24"/>
      <c r="PE151" s="24"/>
      <c r="PF151" s="24"/>
      <c r="PG151" s="24"/>
      <c r="PH151" s="24"/>
      <c r="PI151" s="24"/>
      <c r="PJ151" s="25"/>
      <c r="PK151" s="25"/>
      <c r="PL151" s="25"/>
      <c r="PM151" s="25"/>
      <c r="PN151" s="25"/>
      <c r="PO151" s="25"/>
      <c r="PP151" s="24"/>
      <c r="PQ151" s="24"/>
      <c r="PR151" s="24"/>
      <c r="PS151" s="24"/>
      <c r="PT151" s="24"/>
      <c r="PU151" s="24"/>
      <c r="PV151" s="24"/>
      <c r="PW151" s="24"/>
      <c r="PX151" s="25"/>
      <c r="PY151" s="25"/>
      <c r="PZ151" s="25"/>
      <c r="QA151" s="25"/>
      <c r="QB151" s="25"/>
      <c r="QC151" s="25"/>
      <c r="QD151" s="24"/>
      <c r="QE151" s="24"/>
      <c r="QF151" s="24"/>
      <c r="QG151" s="24"/>
      <c r="QH151" s="24"/>
      <c r="QI151" s="24"/>
      <c r="QJ151" s="24"/>
      <c r="QK151" s="24"/>
      <c r="QL151" s="25"/>
      <c r="QM151" s="25"/>
      <c r="QN151" s="25"/>
      <c r="QO151" s="25"/>
      <c r="QP151" s="25"/>
      <c r="QQ151" s="25"/>
      <c r="QR151" s="24"/>
      <c r="QS151" s="24"/>
      <c r="QT151" s="24"/>
      <c r="QU151" s="24"/>
      <c r="QV151" s="24"/>
      <c r="QW151" s="24"/>
      <c r="QX151" s="24"/>
      <c r="QY151" s="24"/>
      <c r="QZ151" s="25"/>
      <c r="RA151" s="25"/>
      <c r="RB151" s="25"/>
      <c r="RC151" s="25"/>
      <c r="RD151" s="25"/>
      <c r="RE151" s="25"/>
      <c r="RF151" s="24"/>
      <c r="RG151" s="24"/>
      <c r="RH151" s="24"/>
      <c r="RI151" s="24"/>
      <c r="RJ151" s="24"/>
      <c r="RK151" s="24"/>
      <c r="RL151" s="24"/>
      <c r="RM151" s="24"/>
      <c r="RN151" s="25"/>
      <c r="RO151" s="25"/>
      <c r="RP151" s="25"/>
      <c r="RQ151" s="25"/>
      <c r="RR151" s="25"/>
      <c r="RS151" s="25"/>
      <c r="RT151" s="24"/>
      <c r="RU151" s="24"/>
      <c r="RV151" s="24"/>
      <c r="RW151" s="24"/>
      <c r="RX151" s="24"/>
      <c r="RY151" s="24"/>
      <c r="RZ151" s="24"/>
    </row>
    <row r="152" spans="1:494" ht="98.25" customHeight="1" x14ac:dyDescent="0.3">
      <c r="A152" s="120" t="s">
        <v>151</v>
      </c>
      <c r="B152" s="120"/>
      <c r="C152" s="120"/>
      <c r="D152" s="120"/>
      <c r="E152" s="120"/>
      <c r="F152" s="120"/>
      <c r="G152" s="120"/>
      <c r="H152" s="120"/>
      <c r="I152" s="120"/>
      <c r="J152" s="120"/>
      <c r="K152" s="120"/>
      <c r="L152" s="120"/>
      <c r="M152" s="120"/>
      <c r="N152" s="24"/>
      <c r="O152" s="24"/>
      <c r="P152" s="24"/>
      <c r="Q152" s="24"/>
      <c r="R152" s="24"/>
      <c r="S152" s="24"/>
      <c r="T152" s="25"/>
      <c r="U152" s="25"/>
      <c r="V152" s="25"/>
      <c r="W152" s="25"/>
      <c r="X152" s="25"/>
      <c r="Y152" s="25"/>
      <c r="Z152" s="24"/>
      <c r="AA152" s="24"/>
      <c r="AB152" s="24"/>
      <c r="AC152" s="24"/>
      <c r="AD152" s="24"/>
      <c r="AE152" s="24"/>
      <c r="AF152" s="24"/>
      <c r="AG152" s="24"/>
      <c r="AH152" s="25"/>
      <c r="AI152" s="25"/>
      <c r="AJ152" s="25"/>
      <c r="AK152" s="25"/>
      <c r="AL152" s="25"/>
      <c r="AM152" s="25"/>
      <c r="AN152" s="24"/>
      <c r="AO152" s="24"/>
      <c r="AP152" s="24"/>
      <c r="AQ152" s="24"/>
      <c r="AR152" s="24"/>
      <c r="AS152" s="24"/>
      <c r="AT152" s="24"/>
      <c r="AU152" s="24"/>
      <c r="AV152" s="25"/>
      <c r="AW152" s="25"/>
      <c r="AX152" s="25"/>
      <c r="AY152" s="25"/>
      <c r="AZ152" s="25"/>
      <c r="BA152" s="25"/>
      <c r="BB152" s="24"/>
      <c r="BC152" s="24"/>
      <c r="BD152" s="24"/>
      <c r="BE152" s="24"/>
      <c r="BF152" s="24"/>
      <c r="BG152" s="24"/>
      <c r="BH152" s="24"/>
      <c r="BI152" s="24"/>
      <c r="BJ152" s="25"/>
      <c r="BK152" s="25"/>
      <c r="BL152" s="25"/>
      <c r="BM152" s="25"/>
      <c r="BN152" s="25"/>
      <c r="BO152" s="25"/>
      <c r="BP152" s="24"/>
      <c r="BQ152" s="24"/>
      <c r="BR152" s="24"/>
      <c r="BS152" s="24"/>
      <c r="BT152" s="24"/>
      <c r="BU152" s="24"/>
      <c r="BV152" s="24"/>
      <c r="BW152" s="24"/>
      <c r="BX152" s="25"/>
      <c r="BY152" s="25"/>
      <c r="BZ152" s="25"/>
      <c r="CA152" s="25"/>
      <c r="CB152" s="25"/>
      <c r="CC152" s="25"/>
      <c r="CD152" s="24"/>
      <c r="CE152" s="24"/>
      <c r="CF152" s="24"/>
      <c r="CG152" s="24"/>
      <c r="CH152" s="24"/>
      <c r="CI152" s="24"/>
      <c r="CJ152" s="24"/>
      <c r="CK152" s="24"/>
      <c r="CL152" s="25"/>
      <c r="CM152" s="25"/>
      <c r="CN152" s="25"/>
      <c r="CO152" s="25"/>
      <c r="CP152" s="25"/>
      <c r="CQ152" s="25"/>
      <c r="CR152" s="24"/>
      <c r="CS152" s="24"/>
      <c r="CT152" s="24"/>
      <c r="CU152" s="24"/>
      <c r="CV152" s="24"/>
      <c r="CW152" s="24"/>
      <c r="CX152" s="24"/>
      <c r="CY152" s="24"/>
      <c r="CZ152" s="25"/>
      <c r="DA152" s="25"/>
      <c r="DB152" s="25"/>
      <c r="DC152" s="25"/>
      <c r="DD152" s="25"/>
      <c r="DE152" s="25"/>
      <c r="DF152" s="24"/>
      <c r="DG152" s="24"/>
      <c r="DH152" s="24"/>
      <c r="DI152" s="24"/>
      <c r="DJ152" s="24"/>
      <c r="DK152" s="24"/>
      <c r="DL152" s="24"/>
      <c r="DM152" s="24"/>
      <c r="DN152" s="25"/>
      <c r="DO152" s="25"/>
      <c r="DP152" s="25"/>
      <c r="DQ152" s="25"/>
      <c r="DR152" s="25"/>
      <c r="DS152" s="25"/>
      <c r="DT152" s="24"/>
      <c r="DU152" s="24"/>
      <c r="DV152" s="24"/>
      <c r="DW152" s="24"/>
      <c r="DX152" s="24"/>
      <c r="DY152" s="24"/>
      <c r="DZ152" s="24"/>
      <c r="EA152" s="24"/>
      <c r="EB152" s="25"/>
      <c r="EC152" s="25"/>
      <c r="ED152" s="25"/>
      <c r="EE152" s="25"/>
      <c r="EF152" s="25"/>
      <c r="EG152" s="25"/>
      <c r="EH152" s="24"/>
      <c r="EI152" s="24"/>
      <c r="EJ152" s="24"/>
      <c r="EK152" s="24"/>
      <c r="EL152" s="24"/>
      <c r="EM152" s="24"/>
      <c r="EN152" s="24"/>
      <c r="EO152" s="24"/>
      <c r="EP152" s="25"/>
      <c r="EQ152" s="25"/>
      <c r="ER152" s="25"/>
      <c r="ES152" s="25"/>
      <c r="ET152" s="25"/>
      <c r="EU152" s="25"/>
      <c r="EV152" s="24"/>
      <c r="EW152" s="24"/>
      <c r="EX152" s="24"/>
      <c r="EY152" s="24"/>
      <c r="EZ152" s="24"/>
      <c r="FA152" s="24"/>
      <c r="FB152" s="24"/>
      <c r="FC152" s="24"/>
      <c r="FD152" s="25"/>
      <c r="FE152" s="25"/>
      <c r="FF152" s="25"/>
      <c r="FG152" s="25"/>
      <c r="FH152" s="25"/>
      <c r="FI152" s="25"/>
      <c r="FJ152" s="24"/>
      <c r="FK152" s="24"/>
      <c r="FL152" s="24"/>
      <c r="FM152" s="24"/>
      <c r="FN152" s="24"/>
      <c r="FO152" s="24"/>
      <c r="FP152" s="24"/>
      <c r="FQ152" s="24"/>
      <c r="FR152" s="25"/>
      <c r="FS152" s="25"/>
      <c r="FT152" s="25"/>
      <c r="FU152" s="25"/>
      <c r="FV152" s="25"/>
      <c r="FW152" s="25"/>
      <c r="FX152" s="24"/>
      <c r="FY152" s="24"/>
      <c r="FZ152" s="24"/>
      <c r="GA152" s="24"/>
      <c r="GB152" s="24"/>
      <c r="GC152" s="24"/>
      <c r="GD152" s="24"/>
      <c r="GE152" s="24"/>
      <c r="GF152" s="25"/>
      <c r="GG152" s="25"/>
      <c r="GH152" s="25"/>
      <c r="GI152" s="25"/>
      <c r="GJ152" s="25"/>
      <c r="GK152" s="25"/>
      <c r="GL152" s="24"/>
      <c r="GM152" s="24"/>
      <c r="GN152" s="24"/>
      <c r="GO152" s="24"/>
      <c r="GP152" s="24"/>
      <c r="GQ152" s="24"/>
      <c r="GR152" s="24"/>
      <c r="GS152" s="24"/>
      <c r="GT152" s="25"/>
      <c r="GU152" s="25"/>
      <c r="GV152" s="25"/>
      <c r="GW152" s="25"/>
      <c r="GX152" s="25"/>
      <c r="GY152" s="25"/>
      <c r="GZ152" s="24"/>
      <c r="HA152" s="24"/>
      <c r="HB152" s="24"/>
      <c r="HC152" s="24"/>
      <c r="HD152" s="24"/>
      <c r="HE152" s="24"/>
      <c r="HF152" s="24"/>
      <c r="HG152" s="24"/>
      <c r="HH152" s="25"/>
      <c r="HI152" s="25"/>
      <c r="HJ152" s="25"/>
      <c r="HK152" s="25"/>
      <c r="HL152" s="25"/>
      <c r="HM152" s="25"/>
      <c r="HN152" s="24"/>
      <c r="HO152" s="24"/>
      <c r="HP152" s="24"/>
      <c r="HQ152" s="24"/>
      <c r="HR152" s="24"/>
      <c r="HS152" s="24"/>
      <c r="HT152" s="24"/>
      <c r="HU152" s="24"/>
      <c r="HV152" s="25"/>
      <c r="HW152" s="25"/>
      <c r="HX152" s="25"/>
      <c r="HY152" s="25"/>
      <c r="HZ152" s="25"/>
      <c r="IA152" s="25"/>
      <c r="IB152" s="24"/>
      <c r="IC152" s="24"/>
      <c r="ID152" s="24"/>
      <c r="IE152" s="24"/>
      <c r="IF152" s="24"/>
      <c r="IG152" s="24"/>
      <c r="IH152" s="24"/>
      <c r="II152" s="24"/>
      <c r="IJ152" s="25"/>
      <c r="IK152" s="25"/>
      <c r="IL152" s="25"/>
      <c r="IM152" s="25"/>
      <c r="IN152" s="25"/>
      <c r="IO152" s="25"/>
      <c r="IP152" s="24"/>
      <c r="IQ152" s="24"/>
      <c r="IR152" s="24"/>
      <c r="IS152" s="24"/>
      <c r="IT152" s="24"/>
      <c r="IU152" s="24"/>
      <c r="IV152" s="24"/>
      <c r="IW152" s="24"/>
      <c r="IX152" s="25"/>
      <c r="IY152" s="25"/>
      <c r="IZ152" s="25"/>
      <c r="JA152" s="25"/>
      <c r="JB152" s="25"/>
      <c r="JC152" s="25"/>
      <c r="JD152" s="24"/>
      <c r="JE152" s="24"/>
      <c r="JF152" s="24"/>
      <c r="JG152" s="24"/>
      <c r="JH152" s="24"/>
      <c r="JI152" s="24"/>
      <c r="JJ152" s="24"/>
      <c r="JK152" s="24"/>
      <c r="JL152" s="25"/>
      <c r="JM152" s="25"/>
      <c r="JN152" s="25"/>
      <c r="JO152" s="25"/>
      <c r="JP152" s="25"/>
      <c r="JQ152" s="25"/>
      <c r="JR152" s="24"/>
      <c r="JS152" s="24"/>
      <c r="JT152" s="24"/>
      <c r="JU152" s="24"/>
      <c r="JV152" s="24"/>
      <c r="JW152" s="24"/>
      <c r="JX152" s="24"/>
      <c r="JY152" s="24"/>
      <c r="JZ152" s="25"/>
      <c r="KA152" s="25"/>
      <c r="KB152" s="25"/>
      <c r="KC152" s="25"/>
      <c r="KD152" s="25"/>
      <c r="KE152" s="25"/>
      <c r="KF152" s="24"/>
      <c r="KG152" s="24"/>
      <c r="KH152" s="24"/>
      <c r="KI152" s="24"/>
      <c r="KJ152" s="24"/>
      <c r="KK152" s="24"/>
      <c r="KL152" s="24"/>
      <c r="KM152" s="24"/>
      <c r="KN152" s="25"/>
      <c r="KO152" s="25"/>
      <c r="KP152" s="25"/>
      <c r="KQ152" s="25"/>
      <c r="KR152" s="25"/>
      <c r="KS152" s="25"/>
      <c r="KT152" s="24"/>
      <c r="KU152" s="24"/>
      <c r="KV152" s="24"/>
      <c r="KW152" s="24"/>
      <c r="KX152" s="24"/>
      <c r="KY152" s="24"/>
      <c r="KZ152" s="24"/>
      <c r="LA152" s="24"/>
      <c r="LB152" s="25"/>
      <c r="LC152" s="25"/>
      <c r="LD152" s="25"/>
      <c r="LE152" s="25"/>
      <c r="LF152" s="25"/>
      <c r="LG152" s="25"/>
      <c r="LH152" s="24"/>
      <c r="LI152" s="24"/>
      <c r="LJ152" s="24"/>
      <c r="LK152" s="24"/>
      <c r="LL152" s="24"/>
      <c r="LM152" s="24"/>
      <c r="LN152" s="24"/>
      <c r="LO152" s="24"/>
      <c r="LP152" s="25"/>
      <c r="LQ152" s="25"/>
      <c r="LR152" s="25"/>
      <c r="LS152" s="25"/>
      <c r="LT152" s="25"/>
      <c r="LU152" s="25"/>
      <c r="LV152" s="24"/>
      <c r="LW152" s="24"/>
      <c r="LX152" s="24"/>
      <c r="LY152" s="24"/>
      <c r="LZ152" s="24"/>
      <c r="MA152" s="24"/>
      <c r="MB152" s="24"/>
      <c r="MC152" s="24"/>
      <c r="MD152" s="25"/>
      <c r="ME152" s="25"/>
      <c r="MF152" s="25"/>
      <c r="MG152" s="25"/>
      <c r="MH152" s="25"/>
      <c r="MI152" s="25"/>
      <c r="MJ152" s="24"/>
      <c r="MK152" s="24"/>
      <c r="ML152" s="24"/>
      <c r="MM152" s="24"/>
      <c r="MN152" s="24"/>
      <c r="MO152" s="24"/>
      <c r="MP152" s="24"/>
      <c r="MQ152" s="24"/>
      <c r="MR152" s="25"/>
      <c r="MS152" s="25"/>
      <c r="MT152" s="25"/>
      <c r="MU152" s="25"/>
      <c r="MV152" s="25"/>
      <c r="MW152" s="25"/>
      <c r="MX152" s="24"/>
      <c r="MY152" s="24"/>
      <c r="MZ152" s="24"/>
      <c r="NA152" s="24"/>
      <c r="NB152" s="24"/>
      <c r="NC152" s="24"/>
      <c r="ND152" s="24"/>
      <c r="NE152" s="24"/>
      <c r="NF152" s="25"/>
      <c r="NG152" s="25"/>
      <c r="NH152" s="25"/>
      <c r="NI152" s="25"/>
      <c r="NJ152" s="25"/>
      <c r="NK152" s="25"/>
      <c r="NL152" s="24"/>
      <c r="NM152" s="24"/>
      <c r="NN152" s="24"/>
      <c r="NO152" s="24"/>
      <c r="NP152" s="24"/>
      <c r="NQ152" s="24"/>
      <c r="NR152" s="24"/>
      <c r="NS152" s="24"/>
      <c r="NT152" s="25"/>
      <c r="NU152" s="25"/>
      <c r="NV152" s="25"/>
      <c r="NW152" s="25"/>
      <c r="NX152" s="25"/>
      <c r="NY152" s="25"/>
      <c r="NZ152" s="24"/>
      <c r="OA152" s="24"/>
      <c r="OB152" s="24"/>
      <c r="OC152" s="24"/>
      <c r="OD152" s="24"/>
      <c r="OE152" s="24"/>
      <c r="OF152" s="24"/>
      <c r="OG152" s="24"/>
      <c r="OH152" s="25"/>
      <c r="OI152" s="25"/>
      <c r="OJ152" s="25"/>
      <c r="OK152" s="25"/>
      <c r="OL152" s="25"/>
      <c r="OM152" s="25"/>
      <c r="ON152" s="24"/>
      <c r="OO152" s="24"/>
      <c r="OP152" s="24"/>
      <c r="OQ152" s="24"/>
      <c r="OR152" s="24"/>
      <c r="OS152" s="24"/>
      <c r="OT152" s="24"/>
      <c r="OU152" s="24"/>
      <c r="OV152" s="25"/>
      <c r="OW152" s="25"/>
      <c r="OX152" s="25"/>
      <c r="OY152" s="25"/>
      <c r="OZ152" s="25"/>
      <c r="PA152" s="25"/>
      <c r="PB152" s="24"/>
      <c r="PC152" s="24"/>
      <c r="PD152" s="24"/>
      <c r="PE152" s="24"/>
      <c r="PF152" s="24"/>
      <c r="PG152" s="24"/>
      <c r="PH152" s="24"/>
      <c r="PI152" s="24"/>
      <c r="PJ152" s="25"/>
      <c r="PK152" s="25"/>
      <c r="PL152" s="25"/>
      <c r="PM152" s="25"/>
      <c r="PN152" s="25"/>
      <c r="PO152" s="25"/>
      <c r="PP152" s="24"/>
      <c r="PQ152" s="24"/>
      <c r="PR152" s="24"/>
      <c r="PS152" s="24"/>
      <c r="PT152" s="24"/>
      <c r="PU152" s="24"/>
      <c r="PV152" s="24"/>
      <c r="PW152" s="24"/>
      <c r="PX152" s="25"/>
      <c r="PY152" s="25"/>
      <c r="PZ152" s="25"/>
      <c r="QA152" s="25"/>
      <c r="QB152" s="25"/>
      <c r="QC152" s="25"/>
      <c r="QD152" s="24"/>
      <c r="QE152" s="24"/>
      <c r="QF152" s="24"/>
      <c r="QG152" s="24"/>
      <c r="QH152" s="24"/>
      <c r="QI152" s="24"/>
      <c r="QJ152" s="24"/>
      <c r="QK152" s="24"/>
      <c r="QL152" s="25"/>
      <c r="QM152" s="25"/>
      <c r="QN152" s="25"/>
      <c r="QO152" s="25"/>
      <c r="QP152" s="25"/>
      <c r="QQ152" s="25"/>
      <c r="QR152" s="24"/>
      <c r="QS152" s="24"/>
      <c r="QT152" s="24"/>
      <c r="QU152" s="24"/>
      <c r="QV152" s="24"/>
      <c r="QW152" s="24"/>
      <c r="QX152" s="24"/>
      <c r="QY152" s="24"/>
      <c r="QZ152" s="25"/>
      <c r="RA152" s="25"/>
      <c r="RB152" s="25"/>
      <c r="RC152" s="25"/>
      <c r="RD152" s="25"/>
      <c r="RE152" s="25"/>
      <c r="RF152" s="24"/>
      <c r="RG152" s="24"/>
      <c r="RH152" s="24"/>
      <c r="RI152" s="24"/>
      <c r="RJ152" s="24"/>
      <c r="RK152" s="24"/>
      <c r="RL152" s="24"/>
      <c r="RM152" s="24"/>
      <c r="RN152" s="25"/>
      <c r="RO152" s="25"/>
      <c r="RP152" s="25"/>
      <c r="RQ152" s="25"/>
      <c r="RR152" s="25"/>
      <c r="RS152" s="25"/>
      <c r="RT152" s="24"/>
      <c r="RU152" s="24"/>
      <c r="RV152" s="24"/>
      <c r="RW152" s="24"/>
      <c r="RX152" s="24"/>
      <c r="RY152" s="24"/>
      <c r="RZ152" s="24"/>
    </row>
  </sheetData>
  <mergeCells count="62">
    <mergeCell ref="A152:M152"/>
    <mergeCell ref="J2:M2"/>
    <mergeCell ref="L3:M3"/>
    <mergeCell ref="M131:M132"/>
    <mergeCell ref="B26:B28"/>
    <mergeCell ref="B14:B16"/>
    <mergeCell ref="B23:B25"/>
    <mergeCell ref="E11:M11"/>
    <mergeCell ref="M12:M13"/>
    <mergeCell ref="B54:B56"/>
    <mergeCell ref="D131:D132"/>
    <mergeCell ref="E131:E132"/>
    <mergeCell ref="F131:F132"/>
    <mergeCell ref="G131:G132"/>
    <mergeCell ref="H131:H132"/>
    <mergeCell ref="I131:I132"/>
    <mergeCell ref="L131:L132"/>
    <mergeCell ref="A54:A56"/>
    <mergeCell ref="B63:B65"/>
    <mergeCell ref="A131:A141"/>
    <mergeCell ref="B128:B130"/>
    <mergeCell ref="A128:A130"/>
    <mergeCell ref="A100:A102"/>
    <mergeCell ref="A106:A108"/>
    <mergeCell ref="A123:A125"/>
    <mergeCell ref="A103:A105"/>
    <mergeCell ref="B123:B125"/>
    <mergeCell ref="A92:A95"/>
    <mergeCell ref="A79:A81"/>
    <mergeCell ref="A57:A59"/>
    <mergeCell ref="B79:B81"/>
    <mergeCell ref="A63:A65"/>
    <mergeCell ref="J4:M4"/>
    <mergeCell ref="H5:M5"/>
    <mergeCell ref="H6:M6"/>
    <mergeCell ref="L12:L13"/>
    <mergeCell ref="J12:J13"/>
    <mergeCell ref="H12:H13"/>
    <mergeCell ref="K12:K13"/>
    <mergeCell ref="C131:C132"/>
    <mergeCell ref="D11:D13"/>
    <mergeCell ref="A14:A16"/>
    <mergeCell ref="A26:A28"/>
    <mergeCell ref="K131:K132"/>
    <mergeCell ref="J131:J132"/>
    <mergeCell ref="A96:A99"/>
    <mergeCell ref="A144:A146"/>
    <mergeCell ref="B131:B132"/>
    <mergeCell ref="I7:L7"/>
    <mergeCell ref="A23:A25"/>
    <mergeCell ref="A8:K8"/>
    <mergeCell ref="A9:K9"/>
    <mergeCell ref="F12:F13"/>
    <mergeCell ref="G12:G13"/>
    <mergeCell ref="A11:A13"/>
    <mergeCell ref="C11:C13"/>
    <mergeCell ref="B11:B13"/>
    <mergeCell ref="A45:A47"/>
    <mergeCell ref="B45:B47"/>
    <mergeCell ref="B57:B58"/>
    <mergeCell ref="I12:I13"/>
    <mergeCell ref="E12:E13"/>
  </mergeCells>
  <pageMargins left="0.23622047244094491" right="0.23622047244094491" top="0.74803149606299213" bottom="0.74803149606299213" header="0.31496062992125984" footer="0.31496062992125984"/>
  <pageSetup paperSize="9" scale="39" fitToHeight="15" orientation="landscape" r:id="rId1"/>
  <headerFooter differentFirst="1">
    <oddHeader>&amp;C&amp;P</oddHeader>
  </headerFooter>
  <rowBreaks count="1" manualBreakCount="1">
    <brk id="53"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F3:F22"/>
  <sheetViews>
    <sheetView workbookViewId="0">
      <selection activeCell="F3" sqref="F3:F22"/>
    </sheetView>
  </sheetViews>
  <sheetFormatPr defaultRowHeight="14.4" x14ac:dyDescent="0.3"/>
  <cols>
    <col min="6" max="6" width="23" customWidth="1"/>
  </cols>
  <sheetData>
    <row r="3" spans="6:6" x14ac:dyDescent="0.3">
      <c r="F3">
        <v>41152725.43</v>
      </c>
    </row>
    <row r="4" spans="6:6" x14ac:dyDescent="0.3">
      <c r="F4">
        <v>7200000</v>
      </c>
    </row>
    <row r="5" spans="6:6" x14ac:dyDescent="0.3">
      <c r="F5">
        <v>16650000</v>
      </c>
    </row>
    <row r="6" spans="6:6" x14ac:dyDescent="0.3">
      <c r="F6">
        <v>66152263.600000001</v>
      </c>
    </row>
    <row r="7" spans="6:6" x14ac:dyDescent="0.3">
      <c r="F7">
        <v>7420126.6600000001</v>
      </c>
    </row>
    <row r="8" spans="6:6" x14ac:dyDescent="0.3">
      <c r="F8">
        <v>21594209.73</v>
      </c>
    </row>
    <row r="9" spans="6:6" x14ac:dyDescent="0.3">
      <c r="F9">
        <v>2000000</v>
      </c>
    </row>
    <row r="10" spans="6:6" x14ac:dyDescent="0.3">
      <c r="F10">
        <v>400000</v>
      </c>
    </row>
    <row r="11" spans="6:6" x14ac:dyDescent="0.3">
      <c r="F11">
        <v>200000</v>
      </c>
    </row>
    <row r="12" spans="6:6" x14ac:dyDescent="0.3">
      <c r="F12">
        <v>1000000</v>
      </c>
    </row>
    <row r="13" spans="6:6" x14ac:dyDescent="0.3">
      <c r="F13">
        <v>30000</v>
      </c>
    </row>
    <row r="14" spans="6:6" x14ac:dyDescent="0.3">
      <c r="F14">
        <v>7509942.6399999997</v>
      </c>
    </row>
    <row r="15" spans="6:6" x14ac:dyDescent="0.3">
      <c r="F15">
        <v>138881410.30000001</v>
      </c>
    </row>
    <row r="16" spans="6:6" x14ac:dyDescent="0.3">
      <c r="F16">
        <v>25000</v>
      </c>
    </row>
    <row r="17" spans="6:6" x14ac:dyDescent="0.3">
      <c r="F17">
        <v>668920</v>
      </c>
    </row>
    <row r="18" spans="6:6" x14ac:dyDescent="0.3">
      <c r="F18">
        <v>150000</v>
      </c>
    </row>
    <row r="19" spans="6:6" x14ac:dyDescent="0.3">
      <c r="F19">
        <v>145905</v>
      </c>
    </row>
    <row r="20" spans="6:6" x14ac:dyDescent="0.3">
      <c r="F20">
        <v>1600000</v>
      </c>
    </row>
    <row r="21" spans="6:6" x14ac:dyDescent="0.3">
      <c r="F21">
        <v>2500000</v>
      </c>
    </row>
    <row r="22" spans="6:6" x14ac:dyDescent="0.3">
      <c r="F22">
        <f>SUM(F3:F21)</f>
        <v>315280503.36000001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Приложение 1</vt:lpstr>
      <vt:lpstr>Лист1</vt:lpstr>
      <vt:lpstr>'Приложение 1'!Заголовки_для_печати</vt:lpstr>
      <vt:lpstr>'Приложение 1'!Область_печати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2025-10-27T01:57:02Z</dcterms:modified>
</cp:coreProperties>
</file>