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F8268393-1F21-48B6-B92F-4361708EC00B}" xr6:coauthVersionLast="47" xr6:coauthVersionMax="47" xr10:uidLastSave="{00000000-0000-0000-0000-000000000000}"/>
  <bookViews>
    <workbookView xWindow="-108" yWindow="-108" windowWidth="23256" windowHeight="12576"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4" l="1"/>
  <c r="K89" i="4"/>
  <c r="K112" i="4"/>
  <c r="K111" i="4"/>
  <c r="K20" i="4"/>
  <c r="K121" i="4"/>
  <c r="K120" i="4"/>
  <c r="K51" i="4"/>
  <c r="K27" i="4"/>
  <c r="L27" i="4"/>
  <c r="M27" i="4"/>
  <c r="J27" i="4"/>
  <c r="D49" i="4"/>
  <c r="K113" i="4" l="1"/>
  <c r="M111" i="4"/>
  <c r="M113" i="4"/>
  <c r="L111" i="4"/>
  <c r="L113" i="4"/>
  <c r="K142" i="4" l="1"/>
  <c r="K73" i="4"/>
  <c r="D149" i="4" l="1"/>
  <c r="D148" i="4"/>
  <c r="D146" i="4"/>
  <c r="D145" i="4"/>
  <c r="D144" i="4"/>
  <c r="D143" i="4"/>
  <c r="D142" i="4"/>
  <c r="D140" i="4"/>
  <c r="D139" i="4"/>
  <c r="D138" i="4"/>
  <c r="D137" i="4"/>
  <c r="D136" i="4"/>
  <c r="D135" i="4"/>
  <c r="D134" i="4"/>
  <c r="D133" i="4"/>
  <c r="D132" i="4"/>
  <c r="D129" i="4"/>
  <c r="D126" i="4"/>
  <c r="D125" i="4"/>
  <c r="D114" i="4"/>
  <c r="D107" i="4"/>
  <c r="D104" i="4"/>
  <c r="D101" i="4"/>
  <c r="D98" i="4"/>
  <c r="D88" i="4"/>
  <c r="D86" i="4"/>
  <c r="D85" i="4"/>
  <c r="D77" i="4"/>
  <c r="D75" i="4"/>
  <c r="D71" i="4"/>
  <c r="D66" i="4"/>
  <c r="D42" i="4"/>
  <c r="D46" i="4"/>
  <c r="D47" i="4"/>
  <c r="D48" i="4"/>
  <c r="K92" i="4" l="1"/>
  <c r="L92" i="4"/>
  <c r="M92" i="4"/>
  <c r="M99" i="4" l="1"/>
  <c r="M102" i="4"/>
  <c r="M105" i="4"/>
  <c r="M130" i="4" l="1"/>
  <c r="M80" i="4" s="1"/>
  <c r="M127" i="4"/>
  <c r="M122" i="4"/>
  <c r="M110" i="4"/>
  <c r="M95" i="4"/>
  <c r="M91" i="4" s="1"/>
  <c r="I94" i="4"/>
  <c r="J94" i="4"/>
  <c r="K94" i="4"/>
  <c r="L94" i="4"/>
  <c r="M94" i="4"/>
  <c r="I93" i="4"/>
  <c r="K93" i="4"/>
  <c r="L93" i="4"/>
  <c r="M93" i="4"/>
  <c r="I92" i="4"/>
  <c r="M83" i="4"/>
  <c r="M72" i="4"/>
  <c r="M57" i="4"/>
  <c r="M56" i="4"/>
  <c r="M25" i="4" s="1"/>
  <c r="M50" i="4"/>
  <c r="M45" i="4"/>
  <c r="M17" i="4"/>
  <c r="M55" i="4" l="1"/>
  <c r="M54" i="4" s="1"/>
  <c r="M16" i="4"/>
  <c r="M79" i="4"/>
  <c r="M78" i="4" s="1"/>
  <c r="M26" i="4"/>
  <c r="J147" i="4"/>
  <c r="D147" i="4" s="1"/>
  <c r="J141" i="4"/>
  <c r="D141" i="4" s="1"/>
  <c r="L130" i="4"/>
  <c r="L80" i="4" s="1"/>
  <c r="K130" i="4"/>
  <c r="K80" i="4" s="1"/>
  <c r="J130" i="4"/>
  <c r="I130" i="4"/>
  <c r="I80" i="4" s="1"/>
  <c r="H130" i="4"/>
  <c r="H80" i="4" s="1"/>
  <c r="G130" i="4"/>
  <c r="G80" i="4" s="1"/>
  <c r="F130" i="4"/>
  <c r="E130" i="4"/>
  <c r="E80" i="4" s="1"/>
  <c r="F128" i="4"/>
  <c r="D128" i="4" s="1"/>
  <c r="L127" i="4"/>
  <c r="K127" i="4"/>
  <c r="J127" i="4"/>
  <c r="I127" i="4"/>
  <c r="H127" i="4"/>
  <c r="G127" i="4"/>
  <c r="E127" i="4"/>
  <c r="J124" i="4"/>
  <c r="D124" i="4" s="1"/>
  <c r="J123" i="4"/>
  <c r="D123" i="4" s="1"/>
  <c r="L122" i="4"/>
  <c r="K122" i="4"/>
  <c r="I122" i="4"/>
  <c r="H122" i="4"/>
  <c r="G122" i="4"/>
  <c r="F122" i="4"/>
  <c r="E122" i="4"/>
  <c r="J121" i="4"/>
  <c r="H121" i="4"/>
  <c r="G121" i="4"/>
  <c r="F121" i="4"/>
  <c r="J120" i="4"/>
  <c r="H120" i="4"/>
  <c r="G120" i="4"/>
  <c r="F120" i="4"/>
  <c r="H119" i="4"/>
  <c r="G119" i="4"/>
  <c r="F118" i="4"/>
  <c r="D118" i="4" s="1"/>
  <c r="F117" i="4"/>
  <c r="D117" i="4" s="1"/>
  <c r="H116" i="4"/>
  <c r="G116" i="4"/>
  <c r="F116" i="4"/>
  <c r="J115" i="4"/>
  <c r="H115" i="4"/>
  <c r="G115" i="4"/>
  <c r="F115" i="4"/>
  <c r="E115" i="4"/>
  <c r="J113" i="4"/>
  <c r="G113" i="4"/>
  <c r="F113" i="4"/>
  <c r="E113" i="4"/>
  <c r="J112" i="4"/>
  <c r="J110" i="4" s="1"/>
  <c r="H112" i="4"/>
  <c r="G112" i="4"/>
  <c r="F112" i="4"/>
  <c r="I111" i="4"/>
  <c r="I110" i="4" s="1"/>
  <c r="H111" i="4"/>
  <c r="G111" i="4"/>
  <c r="F111" i="4"/>
  <c r="L110" i="4"/>
  <c r="K110" i="4"/>
  <c r="J109" i="4"/>
  <c r="D109" i="4" s="1"/>
  <c r="H108" i="4"/>
  <c r="D108" i="4" s="1"/>
  <c r="J106" i="4"/>
  <c r="D106" i="4" s="1"/>
  <c r="L105" i="4"/>
  <c r="K105" i="4"/>
  <c r="I105" i="4"/>
  <c r="H105" i="4"/>
  <c r="G105" i="4"/>
  <c r="F105" i="4"/>
  <c r="E105" i="4"/>
  <c r="J103" i="4"/>
  <c r="H103" i="4"/>
  <c r="E103" i="4"/>
  <c r="L102" i="4"/>
  <c r="K102" i="4"/>
  <c r="I102" i="4"/>
  <c r="G102" i="4"/>
  <c r="F102" i="4"/>
  <c r="H100" i="4"/>
  <c r="H99" i="4" s="1"/>
  <c r="G100" i="4"/>
  <c r="G99" i="4" s="1"/>
  <c r="F100" i="4"/>
  <c r="F99" i="4" s="1"/>
  <c r="E100" i="4"/>
  <c r="L99" i="4"/>
  <c r="K99" i="4"/>
  <c r="I99" i="4"/>
  <c r="J97" i="4"/>
  <c r="J93" i="4" s="1"/>
  <c r="G97" i="4"/>
  <c r="G93" i="4" s="1"/>
  <c r="F97" i="4"/>
  <c r="H96" i="4"/>
  <c r="H95" i="4" s="1"/>
  <c r="G96" i="4"/>
  <c r="F96" i="4"/>
  <c r="E96" i="4"/>
  <c r="L95" i="4"/>
  <c r="K95" i="4"/>
  <c r="I95" i="4"/>
  <c r="H94" i="4"/>
  <c r="G94" i="4"/>
  <c r="F94" i="4"/>
  <c r="E94" i="4"/>
  <c r="H93" i="4"/>
  <c r="E93" i="4"/>
  <c r="H90" i="4"/>
  <c r="D90" i="4" s="1"/>
  <c r="J89" i="4"/>
  <c r="G89" i="4"/>
  <c r="F89" i="4"/>
  <c r="H87" i="4"/>
  <c r="D87" i="4" s="1"/>
  <c r="H84" i="4"/>
  <c r="G84" i="4"/>
  <c r="G83" i="4" s="1"/>
  <c r="F84" i="4"/>
  <c r="L83" i="4"/>
  <c r="K83" i="4"/>
  <c r="I83" i="4"/>
  <c r="E83" i="4"/>
  <c r="F80" i="4"/>
  <c r="H76" i="4"/>
  <c r="G76" i="4"/>
  <c r="F76" i="4"/>
  <c r="E76" i="4"/>
  <c r="J74" i="4"/>
  <c r="J72" i="4" s="1"/>
  <c r="H74" i="4"/>
  <c r="G74" i="4"/>
  <c r="F74" i="4"/>
  <c r="E74" i="4"/>
  <c r="I73" i="4"/>
  <c r="I72" i="4" s="1"/>
  <c r="H73" i="4"/>
  <c r="G73" i="4"/>
  <c r="F73" i="4"/>
  <c r="L72" i="4"/>
  <c r="K72"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K55" i="4" s="1"/>
  <c r="J57" i="4"/>
  <c r="I57" i="4"/>
  <c r="H57" i="4"/>
  <c r="L56" i="4"/>
  <c r="L25" i="4" s="1"/>
  <c r="K56" i="4"/>
  <c r="J56" i="4"/>
  <c r="J25" i="4" s="1"/>
  <c r="I56" i="4"/>
  <c r="I25" i="4" s="1"/>
  <c r="H56" i="4"/>
  <c r="H25" i="4" s="1"/>
  <c r="G56" i="4"/>
  <c r="G25" i="4" s="1"/>
  <c r="F56" i="4"/>
  <c r="F25" i="4" s="1"/>
  <c r="F16" i="4" s="1"/>
  <c r="I55" i="4"/>
  <c r="H53" i="4"/>
  <c r="D53" i="4" s="1"/>
  <c r="J52" i="4"/>
  <c r="H52" i="4"/>
  <c r="G52" i="4"/>
  <c r="F52" i="4"/>
  <c r="E52" i="4"/>
  <c r="J51" i="4"/>
  <c r="H51" i="4"/>
  <c r="G51" i="4"/>
  <c r="F51" i="4"/>
  <c r="E51" i="4"/>
  <c r="D51" i="4" s="1"/>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D30" i="4" s="1"/>
  <c r="H29" i="4"/>
  <c r="G29" i="4"/>
  <c r="F29" i="4"/>
  <c r="D28" i="4"/>
  <c r="L26" i="4"/>
  <c r="K26" i="4"/>
  <c r="I27" i="4"/>
  <c r="K25" i="4"/>
  <c r="J20" i="4"/>
  <c r="J17" i="4" s="1"/>
  <c r="H20" i="4"/>
  <c r="G20" i="4"/>
  <c r="F20" i="4"/>
  <c r="E20" i="4"/>
  <c r="H18" i="4"/>
  <c r="H17" i="4" s="1"/>
  <c r="G18" i="4"/>
  <c r="F18" i="4"/>
  <c r="D18" i="4" s="1"/>
  <c r="L17" i="4"/>
  <c r="K17" i="4"/>
  <c r="I17" i="4"/>
  <c r="D52" i="4" l="1"/>
  <c r="D50" i="4" s="1"/>
  <c r="D29" i="4"/>
  <c r="D76" i="4"/>
  <c r="D58" i="4"/>
  <c r="D61" i="4"/>
  <c r="D73" i="4"/>
  <c r="D74" i="4"/>
  <c r="D60" i="4"/>
  <c r="D111" i="4"/>
  <c r="D112" i="4"/>
  <c r="D115" i="4"/>
  <c r="D120" i="4"/>
  <c r="D121" i="4"/>
  <c r="D89" i="4"/>
  <c r="D116" i="4"/>
  <c r="D119" i="4"/>
  <c r="D20" i="4"/>
  <c r="F17" i="4"/>
  <c r="D31" i="4"/>
  <c r="D41" i="4"/>
  <c r="D65" i="4"/>
  <c r="D56" i="4" s="1"/>
  <c r="D25" i="4" s="1"/>
  <c r="E102" i="4"/>
  <c r="D103" i="4"/>
  <c r="D102" i="4" s="1"/>
  <c r="F83" i="4"/>
  <c r="D84" i="4"/>
  <c r="E110" i="4"/>
  <c r="D113" i="4"/>
  <c r="D38" i="4"/>
  <c r="D94" i="4"/>
  <c r="D96" i="4"/>
  <c r="D97" i="4"/>
  <c r="F127" i="4"/>
  <c r="E99" i="4"/>
  <c r="D100" i="4"/>
  <c r="D32" i="4"/>
  <c r="D33" i="4"/>
  <c r="D40" i="4"/>
  <c r="D45" i="4"/>
  <c r="J102" i="4"/>
  <c r="J92" i="4"/>
  <c r="M24" i="4"/>
  <c r="M23" i="4" s="1"/>
  <c r="G16" i="4"/>
  <c r="J95" i="4"/>
  <c r="J50" i="4"/>
  <c r="L54" i="4"/>
  <c r="G50" i="4"/>
  <c r="J83" i="4"/>
  <c r="F95" i="4"/>
  <c r="F91" i="4" s="1"/>
  <c r="G27" i="4"/>
  <c r="G26" i="4" s="1"/>
  <c r="G17" i="4"/>
  <c r="J55" i="4"/>
  <c r="J54" i="4" s="1"/>
  <c r="I16" i="4"/>
  <c r="E50" i="4"/>
  <c r="H92" i="4"/>
  <c r="J105" i="4"/>
  <c r="F57" i="4"/>
  <c r="F55" i="4" s="1"/>
  <c r="F54" i="4" s="1"/>
  <c r="G95" i="4"/>
  <c r="G91" i="4" s="1"/>
  <c r="J99" i="4"/>
  <c r="H50" i="4"/>
  <c r="E92" i="4"/>
  <c r="L91" i="4"/>
  <c r="L79" i="4" s="1"/>
  <c r="L78" i="4" s="1"/>
  <c r="G110" i="4"/>
  <c r="H16" i="4"/>
  <c r="K16" i="4"/>
  <c r="D105" i="4"/>
  <c r="K91" i="4"/>
  <c r="K79" i="4" s="1"/>
  <c r="K78" i="4" s="1"/>
  <c r="H27" i="4"/>
  <c r="H26" i="4" s="1"/>
  <c r="E56" i="4"/>
  <c r="E25" i="4" s="1"/>
  <c r="E16" i="4" s="1"/>
  <c r="I54" i="4"/>
  <c r="G55" i="4"/>
  <c r="G54" i="4" s="1"/>
  <c r="G92" i="4"/>
  <c r="H110" i="4"/>
  <c r="D130" i="4"/>
  <c r="D80" i="4" s="1"/>
  <c r="F72" i="4"/>
  <c r="I24" i="4"/>
  <c r="I23" i="4" s="1"/>
  <c r="F50" i="4"/>
  <c r="H55" i="4"/>
  <c r="H54" i="4" s="1"/>
  <c r="L24" i="4"/>
  <c r="L23" i="4" s="1"/>
  <c r="G72" i="4"/>
  <c r="H72" i="4"/>
  <c r="D127" i="4"/>
  <c r="K54" i="4"/>
  <c r="E72" i="4"/>
  <c r="F93" i="4"/>
  <c r="D93" i="4" s="1"/>
  <c r="I91" i="4"/>
  <c r="I79" i="4" s="1"/>
  <c r="I78" i="4" s="1"/>
  <c r="D122" i="4"/>
  <c r="L16" i="4"/>
  <c r="K24" i="4"/>
  <c r="I26" i="4"/>
  <c r="E57" i="4"/>
  <c r="E63" i="4"/>
  <c r="D63" i="4" s="1"/>
  <c r="H83" i="4"/>
  <c r="F92" i="4"/>
  <c r="H102" i="4"/>
  <c r="H91" i="4" s="1"/>
  <c r="F110" i="4"/>
  <c r="E27" i="4"/>
  <c r="J80" i="4"/>
  <c r="J16" i="4" s="1"/>
  <c r="J122" i="4"/>
  <c r="E17" i="4"/>
  <c r="F27" i="4"/>
  <c r="E95" i="4"/>
  <c r="D27" i="4" l="1"/>
  <c r="D16" i="4"/>
  <c r="D17" i="4"/>
  <c r="E91" i="4"/>
  <c r="E79" i="4" s="1"/>
  <c r="E78" i="4" s="1"/>
  <c r="D57" i="4"/>
  <c r="D99" i="4"/>
  <c r="D92" i="4"/>
  <c r="M15" i="4"/>
  <c r="M14" i="4" s="1"/>
  <c r="D83" i="4"/>
  <c r="F79" i="4"/>
  <c r="F78" i="4" s="1"/>
  <c r="J91" i="4"/>
  <c r="J79" i="4" s="1"/>
  <c r="J78" i="4" s="1"/>
  <c r="H24" i="4"/>
  <c r="H23" i="4" s="1"/>
  <c r="G79" i="4"/>
  <c r="G78" i="4" s="1"/>
  <c r="I15" i="4"/>
  <c r="I14" i="4" s="1"/>
  <c r="D72" i="4"/>
  <c r="D110" i="4"/>
  <c r="G24" i="4"/>
  <c r="G23" i="4" s="1"/>
  <c r="D95" i="4"/>
  <c r="J24" i="4"/>
  <c r="J23" i="4" s="1"/>
  <c r="L15" i="4"/>
  <c r="L14" i="4" s="1"/>
  <c r="D26" i="4"/>
  <c r="E55" i="4"/>
  <c r="E54" i="4" s="1"/>
  <c r="D55" i="4"/>
  <c r="D54" i="4" s="1"/>
  <c r="E26" i="4"/>
  <c r="H79" i="4"/>
  <c r="H78" i="4" s="1"/>
  <c r="K15" i="4"/>
  <c r="K14" i="4" s="1"/>
  <c r="K23" i="4"/>
  <c r="F26" i="4"/>
  <c r="F24" i="4"/>
  <c r="D24" i="4" l="1"/>
  <c r="D23" i="4" s="1"/>
  <c r="G15" i="4"/>
  <c r="G14" i="4" s="1"/>
  <c r="D91" i="4"/>
  <c r="D79" i="4" s="1"/>
  <c r="D78" i="4" s="1"/>
  <c r="J15" i="4"/>
  <c r="J14" i="4" s="1"/>
  <c r="E24" i="4"/>
  <c r="E23" i="4" s="1"/>
  <c r="H15" i="4"/>
  <c r="H14" i="4" s="1"/>
  <c r="F23" i="4"/>
  <c r="F15" i="4"/>
  <c r="F14" i="4" s="1"/>
  <c r="F22" i="5"/>
  <c r="E15" i="4" l="1"/>
  <c r="E14" i="4" l="1"/>
  <c r="D15" i="4"/>
  <c r="D14" i="4" s="1"/>
</calcChain>
</file>

<file path=xl/sharedStrings.xml><?xml version="1.0" encoding="utf-8"?>
<sst xmlns="http://schemas.openxmlformats.org/spreadsheetml/2006/main" count="446" uniqueCount="152">
  <si>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</si>
  <si>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</si>
  <si>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</si>
  <si>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</si>
  <si>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</si>
  <si>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</si>
  <si>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</si>
  <si>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</si>
  <si>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</si>
  <si>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</si>
  <si>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</si>
  <si>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</si>
  <si>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</si>
  <si>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</si>
  <si>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</si>
  <si>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</si>
  <si>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</si>
  <si>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</si>
  <si>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</si>
  <si>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</si>
  <si>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</si>
  <si>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</si>
  <si>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</si>
  <si>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</si>
  <si>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</si>
  <si>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</si>
  <si>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</si>
  <si>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</si>
  <si>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</si>
  <si>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</si>
  <si>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</si>
  <si>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</si>
  <si>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</si>
  <si>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</si>
  <si>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</si>
  <si>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</si>
  <si>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</si>
  <si>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</si>
  <si>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</si>
  <si>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</si>
  <si>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</si>
  <si>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</si>
  <si>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</si>
  <si>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</si>
  <si>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</si>
  <si>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</si>
  <si>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</si>
  <si>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</si>
  <si>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</si>
  <si>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</si>
  <si>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</si>
  <si>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</si>
  <si>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</si>
  <si>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</si>
  <si>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</si>
  <si>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</si>
  <si>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</si>
  <si>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</si>
  <si>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</si>
  <si>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</si>
  <si>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</si>
  <si>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</si>
  <si>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</si>
  <si>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</si>
  <si>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</si>
  <si>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</si>
  <si>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</si>
  <si>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</si>
  <si>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</si>
  <si>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</si>
  <si>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</si>
  <si>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</si>
  <si>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</si>
  <si>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</si>
  <si>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</si>
  <si>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</si>
  <si>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</si>
  <si>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</si>
  <si>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</si>
  <si>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</si>
  <si>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</si>
  <si>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</si>
  <si>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</si>
  <si>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</si>
  <si>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</si>
  <si>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</si>
  <si>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</si>
  <si>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</si>
  <si>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</si>
  <si>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</si>
  <si>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</si>
  <si>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</si>
  <si>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</si>
  <si>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</si>
  <si>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</si>
  <si>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</si>
  <si>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</si>
  <si>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</si>
  <si>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</si>
  <si>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</si>
  <si>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</si>
  <si>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</si>
  <si>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</si>
  <si>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</si>
  <si>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</si>
  <si>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</si>
  <si>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</si>
  <si>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</si>
  <si>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</si>
  <si>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</si>
  <si>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</si>
  <si>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</si>
  <si>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</si>
  <si>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</si>
  <si>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</si>
  <si>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</si>
  <si>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</si>
  <si>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</si>
  <si>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</si>
  <si>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</si>
  <si>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</si>
  <si>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</si>
  <si>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</si>
  <si>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</si>
  <si>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</si>
  <si>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</si>
  <si>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</si>
  <si>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</si>
  <si>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</si>
  <si>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</si>
  <si>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</si>
  <si>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</si>
  <si>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</si>
  <si>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</si>
  <si>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</si>
  <si>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</si>
  <si>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</si>
  <si>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</si>
  <si>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</si>
  <si>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</si>
  <si>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</si>
  <si>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</si>
  <si>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</si>
  <si>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</si>
  <si>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</si>
  <si>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к постановлению администрации города Усолье-Сибирское</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</si>
  <si>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</si>
  <si>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</si>
  <si>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</si>
  <si>
    <t>Приложение 1</t>
  </si>
  <si>
    <t>Мэр города                                                                                                                                                                                                                                           М.В.Торопкин</t>
  </si>
  <si>
    <t>от 17.07.2025 № 1252-па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</si>
</sst>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
      <b/>
      <sz val="1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31">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0" fontId="11" fillId="0" borderId="0" xfId="0" applyFont="1"/>
    <xf numFmtId="0" fontId="12" fillId="0" borderId="0" xfId="0" applyFont="1"/>
    <xf numFmtId="4" fontId="12" fillId="0" borderId="0" xfId="0" applyNumberFormat="1" applyFont="1"/>
    <xf numFmtId="4" fontId="4" fillId="0" borderId="34" xfId="0" applyNumberFormat="1" applyFont="1" applyBorder="1" applyAlignment="1">
      <alignment horizontal="center" vertical="center" wrapText="1"/>
    </xf>
    <xf numFmtId="0" fontId="2" fillId="2" borderId="11" xfId="0" applyFont="1" applyFill="1" applyBorder="1" applyAlignment="1">
      <alignment horizontal="center" vertical="center" wrapText="1"/>
    </xf>
    <xf numFmtId="0" fontId="1" fillId="0" borderId="13" xfId="0" applyFont="1" applyBorder="1" applyAlignment="1">
      <alignment horizontal="center" vertical="top" wrapText="1"/>
    </xf>
    <xf numFmtId="0" fontId="1" fillId="0" borderId="2" xfId="0" applyFont="1" applyBorder="1" applyAlignment="1">
      <alignment horizontal="center" vertical="center" wrapText="1"/>
    </xf>
    <xf numFmtId="0" fontId="2" fillId="2" borderId="0" xfId="0" applyFont="1" applyFill="1" applyAlignment="1">
      <alignment horizontal="center" vertical="center"/>
    </xf>
    <xf numFmtId="0" fontId="6" fillId="2" borderId="0" xfId="0" applyFont="1" applyFill="1" applyAlignment="1">
      <alignment horizontal="center" vertical="center"/>
    </xf>
    <xf numFmtId="4" fontId="4"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3" xfId="0" applyNumberFormat="1" applyFont="1" applyFill="1" applyBorder="1" applyAlignment="1">
      <alignment horizontal="center" vertical="center"/>
    </xf>
    <xf numFmtId="4" fontId="5" fillId="2" borderId="1" xfId="0" applyNumberFormat="1" applyFont="1" applyFill="1" applyBorder="1" applyAlignment="1">
      <alignment horizontal="center" vertical="top"/>
    </xf>
    <xf numFmtId="4" fontId="2" fillId="2" borderId="0" xfId="0" applyNumberFormat="1" applyFont="1" applyFill="1" applyAlignment="1">
      <alignment horizontal="right" vertical="center"/>
    </xf>
    <xf numFmtId="0" fontId="2" fillId="0" borderId="0" xfId="0" applyFont="1" applyAlignment="1">
      <alignment horizontal="center" vertical="top" wrapText="1"/>
    </xf>
    <xf numFmtId="0" fontId="2" fillId="0" borderId="0" xfId="0" applyFont="1" applyAlignment="1">
      <alignment horizontal="center" vertical="center" wrapText="1"/>
    </xf>
    <xf numFmtId="4" fontId="5" fillId="2" borderId="0" xfId="0" applyNumberFormat="1" applyFont="1" applyFill="1" applyAlignment="1">
      <alignment horizontal="center" vertical="center"/>
    </xf>
    <xf numFmtId="0" fontId="8" fillId="0" borderId="0" xfId="0" applyFont="1" applyAlignment="1">
      <alignment horizontal="left" vertical="top" wrapText="1"/>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4" fontId="5"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2" fillId="0" borderId="0" xfId="0" applyFont="1" applyAlignment="1">
      <alignment horizontal="center" vertical="top"/>
    </xf>
    <xf numFmtId="0" fontId="4" fillId="0" borderId="0" xfId="0" applyFont="1" applyAlignment="1">
      <alignment horizontal="center" vertical="center" wrapText="1"/>
    </xf>
    <xf numFmtId="0" fontId="2" fillId="0" borderId="0" xfId="0" applyFont="1" applyAlignment="1">
      <alignment horizontal="right"/>
    </xf>
    <xf numFmtId="0" fontId="2" fillId="0" borderId="0" xfId="0" applyFont="1" applyAlignment="1">
      <alignment horizontal="right" vertical="top"/>
    </xf>
    <xf numFmtId="0" fontId="1" fillId="0" borderId="1" xfId="0" applyFont="1" applyBorder="1" applyAlignment="1">
      <alignment horizontal="center" vertical="center"/>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1" fillId="0" borderId="11" xfId="0" applyFont="1" applyBorder="1" applyAlignment="1">
      <alignment horizontal="center" vertical="center"/>
    </xf>
    <xf numFmtId="0" fontId="1" fillId="0" borderId="33" xfId="0" applyFont="1" applyBorder="1" applyAlignment="1">
      <alignment horizontal="center" vertical="center"/>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wrapText="1"/>
    </xf>
    <xf numFmtId="0" fontId="1" fillId="2" borderId="1" xfId="0" applyFont="1" applyFill="1" applyBorder="1" applyAlignment="1">
      <alignment horizontal="center" vertical="center"/>
    </xf>
    <xf numFmtId="0" fontId="1" fillId="0" borderId="20"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1"/>
  <sheetViews>
    <sheetView tabSelected="1" view="pageBreakPreview" zoomScale="50" zoomScaleNormal="68" zoomScaleSheetLayoutView="50" workbookViewId="0">
      <selection activeCell="H5" sqref="H5:M5"/>
    </sheetView>
  </sheetViews>
  <sheetFormatPr defaultColWidth="9.109375" defaultRowHeight="21" outlineLevelRow="1" x14ac:dyDescent="0.3"/>
  <cols>
    <col min="1" max="1" width="52.6640625" style="9" customWidth="1"/>
    <col min="2" max="2" width="31" style="10" customWidth="1"/>
    <col min="3" max="3" width="26.33203125" style="10" customWidth="1"/>
    <col min="4" max="4" width="26.33203125" style="11" customWidth="1"/>
    <col min="5" max="7" width="25.6640625" style="11" customWidth="1"/>
    <col min="8" max="8" width="25.109375" style="11" customWidth="1"/>
    <col min="9" max="10" width="25.6640625" style="11" customWidth="1"/>
    <col min="11" max="11" width="25.6640625" style="61" customWidth="1"/>
    <col min="12" max="12" width="25.6640625" style="11" customWidth="1"/>
    <col min="13" max="13" width="24.88671875" style="37" customWidth="1"/>
    <col min="14" max="14" width="9.109375" style="10"/>
    <col min="15" max="16" width="16.33203125" style="10" bestFit="1" customWidth="1"/>
    <col min="17" max="17" width="12" style="10" bestFit="1" customWidth="1"/>
    <col min="18" max="16384" width="9.109375" style="10"/>
  </cols>
  <sheetData>
    <row r="1" spans="1:13" ht="18" x14ac:dyDescent="0.3">
      <c r="J1" s="12"/>
      <c r="K1" s="60"/>
      <c r="L1" s="12"/>
      <c r="M1" s="70" t="s">
        <v>149</v>
      </c>
    </row>
    <row r="2" spans="1:13" ht="15" customHeight="1" x14ac:dyDescent="0.3">
      <c r="J2" s="75" t="s">
        <v>145</v>
      </c>
      <c r="K2" s="75"/>
      <c r="L2" s="75"/>
      <c r="M2" s="75"/>
    </row>
    <row r="3" spans="1:13" ht="20.25" customHeight="1" x14ac:dyDescent="0.3">
      <c r="J3" s="12"/>
      <c r="K3" s="60"/>
      <c r="L3" s="76" t="s">
        <v>151</v>
      </c>
      <c r="M3" s="76"/>
    </row>
    <row r="4" spans="1:13" ht="21" customHeight="1" outlineLevel="1" x14ac:dyDescent="0.35">
      <c r="G4" s="12"/>
      <c r="H4" s="29"/>
      <c r="I4" s="42"/>
      <c r="J4" s="109" t="s">
        <v>146</v>
      </c>
      <c r="K4" s="109"/>
      <c r="L4" s="109"/>
      <c r="M4" s="109"/>
    </row>
    <row r="5" spans="1:13" ht="21" customHeight="1" outlineLevel="1" x14ac:dyDescent="0.3">
      <c r="G5" s="12"/>
      <c r="H5" s="110" t="s">
        <v>53</v>
      </c>
      <c r="I5" s="110"/>
      <c r="J5" s="110"/>
      <c r="K5" s="110"/>
      <c r="L5" s="110"/>
      <c r="M5" s="110"/>
    </row>
    <row r="6" spans="1:13" ht="21" customHeight="1" outlineLevel="1" x14ac:dyDescent="0.3">
      <c r="G6" s="12"/>
      <c r="H6" s="110" t="s">
        <v>147</v>
      </c>
      <c r="I6" s="110"/>
      <c r="J6" s="110"/>
      <c r="K6" s="110"/>
      <c r="L6" s="110"/>
      <c r="M6" s="110"/>
    </row>
    <row r="7" spans="1:13" ht="28.2" customHeight="1" outlineLevel="1" x14ac:dyDescent="0.3">
      <c r="G7" s="12"/>
      <c r="H7" s="30"/>
      <c r="I7" s="107"/>
      <c r="J7" s="107"/>
      <c r="K7" s="107"/>
      <c r="L7" s="107"/>
    </row>
    <row r="8" spans="1:13" ht="30" customHeight="1" x14ac:dyDescent="0.3">
      <c r="A8" s="108" t="s">
        <v>30</v>
      </c>
      <c r="B8" s="108"/>
      <c r="C8" s="108"/>
      <c r="D8" s="108"/>
      <c r="E8" s="108"/>
      <c r="F8" s="108"/>
      <c r="G8" s="108"/>
      <c r="H8" s="108"/>
      <c r="I8" s="108"/>
      <c r="J8" s="108"/>
      <c r="K8" s="108"/>
      <c r="L8" s="9"/>
    </row>
    <row r="9" spans="1:13" ht="30" customHeight="1" x14ac:dyDescent="0.3">
      <c r="A9" s="108" t="s">
        <v>137</v>
      </c>
      <c r="B9" s="108"/>
      <c r="C9" s="108"/>
      <c r="D9" s="108"/>
      <c r="E9" s="108"/>
      <c r="F9" s="108"/>
      <c r="G9" s="108"/>
      <c r="H9" s="108"/>
      <c r="I9" s="108"/>
      <c r="J9" s="108"/>
      <c r="K9" s="108"/>
      <c r="L9" s="9"/>
    </row>
    <row r="10" spans="1:13" ht="1.2" customHeight="1" x14ac:dyDescent="0.3">
      <c r="G10" s="12"/>
    </row>
    <row r="11" spans="1:13" ht="48.75" customHeight="1" x14ac:dyDescent="0.3">
      <c r="A11" s="100" t="s">
        <v>32</v>
      </c>
      <c r="B11" s="84" t="s">
        <v>31</v>
      </c>
      <c r="C11" s="84" t="s">
        <v>0</v>
      </c>
      <c r="D11" s="127" t="s">
        <v>1</v>
      </c>
      <c r="E11" s="85" t="s">
        <v>28</v>
      </c>
      <c r="F11" s="86"/>
      <c r="G11" s="86"/>
      <c r="H11" s="86"/>
      <c r="I11" s="86"/>
      <c r="J11" s="86"/>
      <c r="K11" s="86"/>
      <c r="L11" s="86"/>
      <c r="M11" s="87"/>
    </row>
    <row r="12" spans="1:13" ht="48.75" customHeight="1" x14ac:dyDescent="0.3">
      <c r="A12" s="95"/>
      <c r="B12" s="82"/>
      <c r="C12" s="82"/>
      <c r="D12" s="128"/>
      <c r="E12" s="125" t="s">
        <v>16</v>
      </c>
      <c r="F12" s="118" t="s">
        <v>15</v>
      </c>
      <c r="G12" s="120" t="s">
        <v>18</v>
      </c>
      <c r="H12" s="120" t="s">
        <v>19</v>
      </c>
      <c r="I12" s="120" t="s">
        <v>20</v>
      </c>
      <c r="J12" s="116" t="s">
        <v>21</v>
      </c>
      <c r="K12" s="123" t="s">
        <v>46</v>
      </c>
      <c r="L12" s="111" t="s">
        <v>52</v>
      </c>
      <c r="M12" s="88" t="s">
        <v>138</v>
      </c>
    </row>
    <row r="13" spans="1:13" ht="41.4" customHeight="1" thickBot="1" x14ac:dyDescent="0.35">
      <c r="A13" s="122"/>
      <c r="B13" s="124"/>
      <c r="C13" s="124"/>
      <c r="D13" s="129"/>
      <c r="E13" s="126"/>
      <c r="F13" s="119"/>
      <c r="G13" s="121"/>
      <c r="H13" s="121"/>
      <c r="I13" s="121"/>
      <c r="J13" s="117"/>
      <c r="K13" s="123"/>
      <c r="L13" s="111"/>
      <c r="M13" s="88"/>
    </row>
    <row r="14" spans="1:13" ht="39.75" customHeight="1" x14ac:dyDescent="0.3">
      <c r="A14" s="130" t="s">
        <v>139</v>
      </c>
      <c r="B14" s="81" t="s">
        <v>24</v>
      </c>
      <c r="C14" s="13" t="s">
        <v>17</v>
      </c>
      <c r="D14" s="31">
        <f>D15+D16</f>
        <v>2740930814.6199999</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62">
        <f t="shared" si="0"/>
        <v>386089886.14999998</v>
      </c>
      <c r="L14" s="31">
        <f t="shared" si="0"/>
        <v>315924160.43000001</v>
      </c>
      <c r="M14" s="45">
        <f t="shared" si="0"/>
        <v>315924160.43000001</v>
      </c>
    </row>
    <row r="15" spans="1:13" ht="39.75" customHeight="1" x14ac:dyDescent="0.3">
      <c r="A15" s="95"/>
      <c r="B15" s="82"/>
      <c r="C15" s="41" t="s">
        <v>6</v>
      </c>
      <c r="D15" s="31">
        <f>SUM(E15:M15)</f>
        <v>2680361479.4299998</v>
      </c>
      <c r="E15" s="31">
        <f t="shared" ref="E15:M15" si="1">E17+E24+E79</f>
        <v>176322455.11000001</v>
      </c>
      <c r="F15" s="31">
        <f t="shared" si="1"/>
        <v>225291637.97000003</v>
      </c>
      <c r="G15" s="31">
        <f t="shared" si="1"/>
        <v>271052007.80999994</v>
      </c>
      <c r="H15" s="31">
        <f t="shared" si="1"/>
        <v>303454821.01999998</v>
      </c>
      <c r="I15" s="31">
        <f t="shared" si="1"/>
        <v>352059327.05000001</v>
      </c>
      <c r="J15" s="47">
        <f t="shared" si="1"/>
        <v>364243023.46000004</v>
      </c>
      <c r="K15" s="62">
        <f t="shared" si="1"/>
        <v>386089886.14999998</v>
      </c>
      <c r="L15" s="31">
        <f t="shared" si="1"/>
        <v>300924160.43000001</v>
      </c>
      <c r="M15" s="45">
        <f t="shared" si="1"/>
        <v>300924160.43000001</v>
      </c>
    </row>
    <row r="16" spans="1:13" ht="36" customHeight="1" x14ac:dyDescent="0.3">
      <c r="A16" s="96"/>
      <c r="B16" s="83"/>
      <c r="C16" s="41" t="s">
        <v>27</v>
      </c>
      <c r="D16" s="31">
        <f>SUM(E16:M16)</f>
        <v>60569335.189999998</v>
      </c>
      <c r="E16" s="31">
        <f t="shared" ref="E16:M16" si="2">E25+E80</f>
        <v>3572105.89</v>
      </c>
      <c r="F16" s="31">
        <f t="shared" si="2"/>
        <v>6822029.2999999998</v>
      </c>
      <c r="G16" s="31">
        <f t="shared" si="2"/>
        <v>4237300</v>
      </c>
      <c r="H16" s="31">
        <f t="shared" si="2"/>
        <v>0</v>
      </c>
      <c r="I16" s="31">
        <f t="shared" si="2"/>
        <v>15937900</v>
      </c>
      <c r="J16" s="47">
        <f t="shared" si="2"/>
        <v>0</v>
      </c>
      <c r="K16" s="62">
        <f t="shared" si="2"/>
        <v>0</v>
      </c>
      <c r="L16" s="31">
        <f t="shared" si="2"/>
        <v>15000000</v>
      </c>
      <c r="M16" s="45">
        <f t="shared" si="2"/>
        <v>15000000</v>
      </c>
    </row>
    <row r="17" spans="1:15" s="15" customFormat="1" ht="83.25" customHeight="1" x14ac:dyDescent="0.3">
      <c r="A17" s="44" t="s">
        <v>140</v>
      </c>
      <c r="B17" s="14" t="s">
        <v>12</v>
      </c>
      <c r="C17" s="14" t="s">
        <v>6</v>
      </c>
      <c r="D17" s="31">
        <f>SUM(E17:M17)</f>
        <v>164374502.56</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62">
        <f t="shared" si="3"/>
        <v>22078855.899999999</v>
      </c>
      <c r="L17" s="31">
        <f t="shared" si="3"/>
        <v>22239949.93</v>
      </c>
      <c r="M17" s="45">
        <f t="shared" si="3"/>
        <v>22239949.93</v>
      </c>
    </row>
    <row r="18" spans="1:15" s="54" customFormat="1" ht="108" customHeight="1" x14ac:dyDescent="0.3">
      <c r="A18" s="6" t="s">
        <v>94</v>
      </c>
      <c r="B18" s="1" t="s">
        <v>12</v>
      </c>
      <c r="C18" s="1" t="s">
        <v>6</v>
      </c>
      <c r="D18" s="3">
        <f>E18+F18+G18+H18+I18+J18+K18+L18+M18</f>
        <v>160511391.5</v>
      </c>
      <c r="E18" s="46">
        <v>11039960.58</v>
      </c>
      <c r="F18" s="3">
        <f>12734649.51+186313.35</f>
        <v>12920962.859999999</v>
      </c>
      <c r="G18" s="3">
        <f>12734649.51+2429860.25</f>
        <v>15164509.76</v>
      </c>
      <c r="H18" s="3">
        <f>15315461.54+1592673.91+325500</f>
        <v>17233635.449999999</v>
      </c>
      <c r="I18" s="3">
        <v>19063500.219999999</v>
      </c>
      <c r="J18" s="48">
        <v>21239949.93</v>
      </c>
      <c r="K18" s="63">
        <f>21239949.93+36895.97+92126.94</f>
        <v>21368972.84</v>
      </c>
      <c r="L18" s="3">
        <v>21239949.93</v>
      </c>
      <c r="M18" s="3">
        <v>21239949.93</v>
      </c>
      <c r="O18" s="55"/>
    </row>
    <row r="19" spans="1:15" ht="70.2" customHeight="1" x14ac:dyDescent="0.3">
      <c r="A19" s="6" t="s">
        <v>95</v>
      </c>
      <c r="B19" s="1" t="s">
        <v>12</v>
      </c>
      <c r="C19" s="1" t="s">
        <v>6</v>
      </c>
      <c r="D19" s="27" t="s">
        <v>7</v>
      </c>
      <c r="E19" s="27" t="s">
        <v>7</v>
      </c>
      <c r="F19" s="27" t="s">
        <v>7</v>
      </c>
      <c r="G19" s="27" t="s">
        <v>7</v>
      </c>
      <c r="H19" s="27" t="s">
        <v>7</v>
      </c>
      <c r="I19" s="27" t="s">
        <v>7</v>
      </c>
      <c r="J19" s="49" t="s">
        <v>7</v>
      </c>
      <c r="K19" s="63" t="s">
        <v>7</v>
      </c>
      <c r="L19" s="3" t="s">
        <v>7</v>
      </c>
      <c r="M19" s="28" t="s">
        <v>7</v>
      </c>
    </row>
    <row r="20" spans="1:15" ht="87.75" customHeight="1" x14ac:dyDescent="0.3">
      <c r="A20" s="6" t="s">
        <v>96</v>
      </c>
      <c r="B20" s="1" t="s">
        <v>12</v>
      </c>
      <c r="C20" s="1" t="s">
        <v>6</v>
      </c>
      <c r="D20" s="3">
        <f>E20+F20+G20+H20+I20+J20+K20+L20+M20</f>
        <v>3863111.06</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63">
        <f>1000000-195616.94-94500</f>
        <v>709883.06</v>
      </c>
      <c r="L20" s="3">
        <v>1000000</v>
      </c>
      <c r="M20" s="43">
        <v>1000000</v>
      </c>
    </row>
    <row r="21" spans="1:15" ht="232.5" customHeight="1" x14ac:dyDescent="0.3">
      <c r="A21" s="6" t="s">
        <v>97</v>
      </c>
      <c r="B21" s="1" t="s">
        <v>25</v>
      </c>
      <c r="C21" s="1" t="s">
        <v>6</v>
      </c>
      <c r="D21" s="27" t="s">
        <v>7</v>
      </c>
      <c r="E21" s="27" t="s">
        <v>7</v>
      </c>
      <c r="F21" s="27" t="s">
        <v>7</v>
      </c>
      <c r="G21" s="27" t="s">
        <v>7</v>
      </c>
      <c r="H21" s="27" t="s">
        <v>7</v>
      </c>
      <c r="I21" s="27" t="s">
        <v>7</v>
      </c>
      <c r="J21" s="49" t="s">
        <v>7</v>
      </c>
      <c r="K21" s="63" t="s">
        <v>7</v>
      </c>
      <c r="L21" s="3" t="s">
        <v>7</v>
      </c>
      <c r="M21" s="28" t="s">
        <v>7</v>
      </c>
    </row>
    <row r="22" spans="1:15" ht="82.5" customHeight="1" x14ac:dyDescent="0.3">
      <c r="A22" s="44" t="s">
        <v>143</v>
      </c>
      <c r="B22" s="14" t="s">
        <v>12</v>
      </c>
      <c r="C22" s="14" t="s">
        <v>6</v>
      </c>
      <c r="D22" s="27" t="s">
        <v>7</v>
      </c>
      <c r="E22" s="27" t="s">
        <v>7</v>
      </c>
      <c r="F22" s="27" t="s">
        <v>7</v>
      </c>
      <c r="G22" s="27" t="s">
        <v>7</v>
      </c>
      <c r="H22" s="27" t="s">
        <v>7</v>
      </c>
      <c r="I22" s="27" t="s">
        <v>7</v>
      </c>
      <c r="J22" s="49" t="s">
        <v>7</v>
      </c>
      <c r="K22" s="63" t="s">
        <v>7</v>
      </c>
      <c r="L22" s="3" t="s">
        <v>7</v>
      </c>
      <c r="M22" s="28" t="s">
        <v>7</v>
      </c>
    </row>
    <row r="23" spans="1:15" ht="42" customHeight="1" x14ac:dyDescent="0.3">
      <c r="A23" s="100" t="s">
        <v>141</v>
      </c>
      <c r="B23" s="84" t="s">
        <v>5</v>
      </c>
      <c r="C23" s="41" t="s">
        <v>17</v>
      </c>
      <c r="D23" s="32">
        <f>D24+D25</f>
        <v>342656655.79999995</v>
      </c>
      <c r="E23" s="32">
        <f>E24+E25</f>
        <v>25356368.810000002</v>
      </c>
      <c r="F23" s="32">
        <f t="shared" ref="F23" si="4">F24+F25</f>
        <v>29378541.989999998</v>
      </c>
      <c r="G23" s="32">
        <f>G24+G25</f>
        <v>30361534.209999997</v>
      </c>
      <c r="H23" s="32">
        <f t="shared" ref="H23:M23" si="5">H24+H25</f>
        <v>32051334.479999997</v>
      </c>
      <c r="I23" s="32">
        <f t="shared" si="5"/>
        <v>56728555.579999998</v>
      </c>
      <c r="J23" s="50">
        <f t="shared" si="5"/>
        <v>50280431.420000002</v>
      </c>
      <c r="K23" s="64">
        <f t="shared" si="5"/>
        <v>52976716.269999996</v>
      </c>
      <c r="L23" s="32">
        <f t="shared" si="5"/>
        <v>32761586.52</v>
      </c>
      <c r="M23" s="36">
        <f t="shared" si="5"/>
        <v>32761586.52</v>
      </c>
    </row>
    <row r="24" spans="1:15" s="15" customFormat="1" ht="42" customHeight="1" x14ac:dyDescent="0.3">
      <c r="A24" s="95"/>
      <c r="B24" s="82"/>
      <c r="C24" s="41" t="s">
        <v>6</v>
      </c>
      <c r="D24" s="32">
        <f>D27+D50+D55+D72</f>
        <v>328404549.90999997</v>
      </c>
      <c r="E24" s="32">
        <f t="shared" ref="E24:H24" si="6">E27+E50+E55+E72</f>
        <v>21784262.920000002</v>
      </c>
      <c r="F24" s="32">
        <f t="shared" si="6"/>
        <v>29378541.989999998</v>
      </c>
      <c r="G24" s="32">
        <f t="shared" si="6"/>
        <v>30361534.209999997</v>
      </c>
      <c r="H24" s="32">
        <f t="shared" si="6"/>
        <v>32051334.479999997</v>
      </c>
      <c r="I24" s="32">
        <f>I27+I50+I55+I72</f>
        <v>46048555.579999998</v>
      </c>
      <c r="J24" s="50">
        <f t="shared" ref="J24:M24" si="7">J27+J50+J55+J72</f>
        <v>50280431.420000002</v>
      </c>
      <c r="K24" s="64">
        <f t="shared" si="7"/>
        <v>52976716.269999996</v>
      </c>
      <c r="L24" s="32">
        <f t="shared" si="7"/>
        <v>32761586.52</v>
      </c>
      <c r="M24" s="36">
        <f t="shared" si="7"/>
        <v>32761586.52</v>
      </c>
    </row>
    <row r="25" spans="1:15" s="15" customFormat="1" ht="46.95" customHeight="1" x14ac:dyDescent="0.3">
      <c r="A25" s="96"/>
      <c r="B25" s="83"/>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64">
        <f t="shared" si="8"/>
        <v>0</v>
      </c>
      <c r="L25" s="32">
        <f t="shared" si="8"/>
        <v>0</v>
      </c>
      <c r="M25" s="36">
        <f t="shared" si="8"/>
        <v>0</v>
      </c>
    </row>
    <row r="26" spans="1:15" s="53" customFormat="1" ht="50.4" customHeight="1" x14ac:dyDescent="0.3">
      <c r="A26" s="100" t="s">
        <v>98</v>
      </c>
      <c r="B26" s="78" t="s">
        <v>5</v>
      </c>
      <c r="C26" s="14" t="s">
        <v>51</v>
      </c>
      <c r="D26" s="33">
        <f>D27+D28</f>
        <v>28498348.450000003</v>
      </c>
      <c r="E26" s="33">
        <f t="shared" ref="E26:M26" si="9">E27+E28</f>
        <v>702424.43</v>
      </c>
      <c r="F26" s="33">
        <f t="shared" si="9"/>
        <v>4166754.96</v>
      </c>
      <c r="G26" s="33">
        <f t="shared" si="9"/>
        <v>1862826.48</v>
      </c>
      <c r="H26" s="33">
        <f t="shared" si="9"/>
        <v>940010.91</v>
      </c>
      <c r="I26" s="33">
        <f t="shared" si="9"/>
        <v>13229222.43</v>
      </c>
      <c r="J26" s="51">
        <f t="shared" si="9"/>
        <v>6070830.0899999999</v>
      </c>
      <c r="K26" s="65">
        <f t="shared" si="9"/>
        <v>1526279.15</v>
      </c>
      <c r="L26" s="33">
        <f t="shared" si="9"/>
        <v>0</v>
      </c>
      <c r="M26" s="56">
        <f t="shared" si="9"/>
        <v>0</v>
      </c>
    </row>
    <row r="27" spans="1:15" ht="34.950000000000003" customHeight="1" x14ac:dyDescent="0.3">
      <c r="A27" s="95"/>
      <c r="B27" s="79"/>
      <c r="C27" s="1" t="s">
        <v>6</v>
      </c>
      <c r="D27" s="3">
        <f>D29+D30+D31+D32+D33+D37+D38+D39+D40+D41+D42+D43+D44+D46+D48+D49</f>
        <v>17818348.450000003</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66">
        <f t="shared" ref="K27:M27" si="11">K29+K30+K31+K32+K33+K37+K38+K39+K40+K41+K42+K43+K44+K46+K48+K49</f>
        <v>1526279.15</v>
      </c>
      <c r="L27" s="48">
        <f t="shared" si="11"/>
        <v>0</v>
      </c>
      <c r="M27" s="48">
        <f t="shared" si="11"/>
        <v>0</v>
      </c>
    </row>
    <row r="28" spans="1:15" ht="34.200000000000003" customHeight="1" x14ac:dyDescent="0.3">
      <c r="A28" s="96"/>
      <c r="B28" s="80"/>
      <c r="C28" s="1" t="s">
        <v>27</v>
      </c>
      <c r="D28" s="3">
        <f>E28+F28+G28+H28+I28+J28+K28+L28</f>
        <v>10680000</v>
      </c>
      <c r="E28" s="3">
        <v>0</v>
      </c>
      <c r="F28" s="3">
        <v>0</v>
      </c>
      <c r="G28" s="3">
        <v>0</v>
      </c>
      <c r="H28" s="3">
        <v>0</v>
      </c>
      <c r="I28" s="3">
        <v>10680000</v>
      </c>
      <c r="J28" s="48">
        <v>0</v>
      </c>
      <c r="K28" s="63">
        <v>0</v>
      </c>
      <c r="L28" s="3">
        <v>0</v>
      </c>
      <c r="M28" s="43">
        <v>0</v>
      </c>
    </row>
    <row r="29" spans="1:15" ht="132" customHeight="1" x14ac:dyDescent="0.3">
      <c r="A29" s="6" t="s">
        <v>99</v>
      </c>
      <c r="B29" s="1" t="s">
        <v>5</v>
      </c>
      <c r="C29" s="1" t="s">
        <v>6</v>
      </c>
      <c r="D29" s="3">
        <f>SUM(E29:M29)</f>
        <v>2885186.3</v>
      </c>
      <c r="E29" s="3">
        <v>324848.98</v>
      </c>
      <c r="F29" s="3">
        <f>214900+60000+47586.88</f>
        <v>322486.88</v>
      </c>
      <c r="G29" s="3">
        <f>231116.38+7120.72-2790-75276.13</f>
        <v>160170.97</v>
      </c>
      <c r="H29" s="3">
        <f>155834.14+6000+24000</f>
        <v>185834.14</v>
      </c>
      <c r="I29" s="3">
        <v>461011.32</v>
      </c>
      <c r="J29" s="48">
        <v>1160834.01</v>
      </c>
      <c r="K29" s="63">
        <v>270000</v>
      </c>
      <c r="L29" s="3">
        <v>0</v>
      </c>
      <c r="M29" s="43">
        <v>0</v>
      </c>
    </row>
    <row r="30" spans="1:15" ht="85.5" customHeight="1" x14ac:dyDescent="0.3">
      <c r="A30" s="6" t="s">
        <v>100</v>
      </c>
      <c r="B30" s="1" t="s">
        <v>5</v>
      </c>
      <c r="C30" s="1" t="s">
        <v>6</v>
      </c>
      <c r="D30" s="3">
        <f>E30+F30+G30+H30+I30+J30+K30+L30+M30</f>
        <v>2199116.4400000004</v>
      </c>
      <c r="E30" s="3">
        <v>254321.85</v>
      </c>
      <c r="F30" s="3">
        <f>207280-86220.48-25379.81</f>
        <v>95679.71</v>
      </c>
      <c r="G30" s="3">
        <f>233014+250000-130245.36+43265.36</f>
        <v>396034</v>
      </c>
      <c r="H30" s="3">
        <f>156629.7-15800.89+24480.96</f>
        <v>165309.76999999999</v>
      </c>
      <c r="I30" s="3">
        <v>256360.03</v>
      </c>
      <c r="J30" s="48">
        <v>464411.08</v>
      </c>
      <c r="K30" s="63">
        <v>567000</v>
      </c>
      <c r="L30" s="3">
        <v>0</v>
      </c>
      <c r="M30" s="43">
        <v>0</v>
      </c>
    </row>
    <row r="31" spans="1:15" ht="112.95" customHeight="1" x14ac:dyDescent="0.3">
      <c r="A31" s="6" t="s">
        <v>101</v>
      </c>
      <c r="B31" s="1" t="s">
        <v>5</v>
      </c>
      <c r="C31" s="1" t="s">
        <v>6</v>
      </c>
      <c r="D31" s="3">
        <f>SUM(E31:M31)</f>
        <v>1178555</v>
      </c>
      <c r="E31" s="3">
        <v>0</v>
      </c>
      <c r="F31" s="3">
        <f>20000-19600</f>
        <v>400</v>
      </c>
      <c r="G31" s="3">
        <f>20000-20000</f>
        <v>0</v>
      </c>
      <c r="H31" s="3">
        <v>400</v>
      </c>
      <c r="I31" s="3">
        <v>0</v>
      </c>
      <c r="J31" s="48">
        <v>720955</v>
      </c>
      <c r="K31" s="63">
        <v>456800</v>
      </c>
      <c r="L31" s="3">
        <v>0</v>
      </c>
      <c r="M31" s="43">
        <v>0</v>
      </c>
    </row>
    <row r="32" spans="1:15" ht="76.95" customHeight="1" x14ac:dyDescent="0.3">
      <c r="A32" s="6" t="s">
        <v>102</v>
      </c>
      <c r="B32" s="1" t="s">
        <v>5</v>
      </c>
      <c r="C32" s="1" t="s">
        <v>6</v>
      </c>
      <c r="D32" s="3">
        <f>SUM(E32:M32)</f>
        <v>249430.8</v>
      </c>
      <c r="E32" s="3">
        <f>4000*26-28440-6129.2</f>
        <v>69430.8</v>
      </c>
      <c r="F32" s="3">
        <f>156000-116000</f>
        <v>40000</v>
      </c>
      <c r="G32" s="3">
        <f>95640.64-55640.64</f>
        <v>40000</v>
      </c>
      <c r="H32" s="3">
        <f>36000-10000</f>
        <v>26000</v>
      </c>
      <c r="I32" s="3">
        <v>20000</v>
      </c>
      <c r="J32" s="48">
        <v>30000</v>
      </c>
      <c r="K32" s="63">
        <v>24000</v>
      </c>
      <c r="L32" s="3">
        <v>0</v>
      </c>
      <c r="M32" s="43">
        <v>0</v>
      </c>
    </row>
    <row r="33" spans="1:13" ht="79.5" customHeight="1" x14ac:dyDescent="0.3">
      <c r="A33" s="6" t="s">
        <v>103</v>
      </c>
      <c r="B33" s="1" t="s">
        <v>5</v>
      </c>
      <c r="C33" s="1" t="s">
        <v>6</v>
      </c>
      <c r="D33" s="3">
        <f>SUM(E33:M33)</f>
        <v>0</v>
      </c>
      <c r="E33" s="3">
        <f>380462-380462</f>
        <v>0</v>
      </c>
      <c r="F33" s="3">
        <f>380462-380462</f>
        <v>0</v>
      </c>
      <c r="G33" s="3">
        <v>0</v>
      </c>
      <c r="H33" s="3">
        <v>0</v>
      </c>
      <c r="I33" s="3">
        <v>0</v>
      </c>
      <c r="J33" s="48">
        <v>0</v>
      </c>
      <c r="K33" s="63">
        <v>0</v>
      </c>
      <c r="L33" s="3">
        <v>0</v>
      </c>
      <c r="M33" s="43">
        <v>0</v>
      </c>
    </row>
    <row r="34" spans="1:13" ht="108" customHeight="1" x14ac:dyDescent="0.3">
      <c r="A34" s="6" t="s">
        <v>104</v>
      </c>
      <c r="B34" s="1" t="s">
        <v>5</v>
      </c>
      <c r="C34" s="1" t="s">
        <v>6</v>
      </c>
      <c r="D34" s="27" t="s">
        <v>7</v>
      </c>
      <c r="E34" s="27" t="s">
        <v>7</v>
      </c>
      <c r="F34" s="27" t="s">
        <v>7</v>
      </c>
      <c r="G34" s="27" t="s">
        <v>7</v>
      </c>
      <c r="H34" s="27" t="s">
        <v>7</v>
      </c>
      <c r="I34" s="27" t="s">
        <v>7</v>
      </c>
      <c r="J34" s="49" t="s">
        <v>7</v>
      </c>
      <c r="K34" s="63" t="s">
        <v>7</v>
      </c>
      <c r="L34" s="3" t="s">
        <v>7</v>
      </c>
      <c r="M34" s="28" t="s">
        <v>7</v>
      </c>
    </row>
    <row r="35" spans="1:13" ht="158.25" customHeight="1" x14ac:dyDescent="0.3">
      <c r="A35" s="6" t="s">
        <v>105</v>
      </c>
      <c r="B35" s="1" t="s">
        <v>5</v>
      </c>
      <c r="C35" s="1" t="s">
        <v>6</v>
      </c>
      <c r="D35" s="27" t="s">
        <v>7</v>
      </c>
      <c r="E35" s="27" t="s">
        <v>7</v>
      </c>
      <c r="F35" s="27" t="s">
        <v>7</v>
      </c>
      <c r="G35" s="27" t="s">
        <v>7</v>
      </c>
      <c r="H35" s="27" t="s">
        <v>7</v>
      </c>
      <c r="I35" s="27" t="s">
        <v>7</v>
      </c>
      <c r="J35" s="49" t="s">
        <v>7</v>
      </c>
      <c r="K35" s="63" t="s">
        <v>7</v>
      </c>
      <c r="L35" s="3" t="s">
        <v>7</v>
      </c>
      <c r="M35" s="28" t="s">
        <v>7</v>
      </c>
    </row>
    <row r="36" spans="1:13" ht="100.5" customHeight="1" x14ac:dyDescent="0.3">
      <c r="A36" s="2" t="s">
        <v>106</v>
      </c>
      <c r="B36" s="2" t="s">
        <v>5</v>
      </c>
      <c r="C36" s="2" t="s">
        <v>6</v>
      </c>
      <c r="D36" s="27" t="s">
        <v>7</v>
      </c>
      <c r="E36" s="27" t="s">
        <v>7</v>
      </c>
      <c r="F36" s="27" t="s">
        <v>7</v>
      </c>
      <c r="G36" s="27" t="s">
        <v>7</v>
      </c>
      <c r="H36" s="27" t="s">
        <v>7</v>
      </c>
      <c r="I36" s="27" t="s">
        <v>7</v>
      </c>
      <c r="J36" s="49" t="s">
        <v>7</v>
      </c>
      <c r="K36" s="63" t="s">
        <v>7</v>
      </c>
      <c r="L36" s="3" t="s">
        <v>7</v>
      </c>
      <c r="M36" s="28" t="s">
        <v>7</v>
      </c>
    </row>
    <row r="37" spans="1:13" ht="85.5" customHeight="1" x14ac:dyDescent="0.3">
      <c r="A37" s="6" t="s">
        <v>107</v>
      </c>
      <c r="B37" s="1" t="s">
        <v>5</v>
      </c>
      <c r="C37" s="1" t="s">
        <v>6</v>
      </c>
      <c r="D37" s="3">
        <f>SUM(E37:M37)</f>
        <v>0</v>
      </c>
      <c r="E37" s="3">
        <f>2000*2-4000</f>
        <v>0</v>
      </c>
      <c r="F37" s="3">
        <v>0</v>
      </c>
      <c r="G37" s="3">
        <v>0</v>
      </c>
      <c r="H37" s="3">
        <v>0</v>
      </c>
      <c r="I37" s="3">
        <v>0</v>
      </c>
      <c r="J37" s="48">
        <v>0</v>
      </c>
      <c r="K37" s="63">
        <v>0</v>
      </c>
      <c r="L37" s="3">
        <v>0</v>
      </c>
      <c r="M37" s="43">
        <v>0</v>
      </c>
    </row>
    <row r="38" spans="1:13" ht="76.5" customHeight="1" x14ac:dyDescent="0.3">
      <c r="A38" s="6" t="s">
        <v>108</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63">
        <v>208479.15</v>
      </c>
      <c r="L38" s="3">
        <v>0</v>
      </c>
      <c r="M38" s="43">
        <v>0</v>
      </c>
    </row>
    <row r="39" spans="1:13" ht="80.25" customHeight="1" x14ac:dyDescent="0.3">
      <c r="A39" s="6" t="s">
        <v>109</v>
      </c>
      <c r="B39" s="1" t="s">
        <v>5</v>
      </c>
      <c r="C39" s="1" t="s">
        <v>6</v>
      </c>
      <c r="D39" s="3">
        <f t="shared" si="12"/>
        <v>2861600</v>
      </c>
      <c r="E39" s="3">
        <v>0</v>
      </c>
      <c r="F39" s="3">
        <f>6823340-2823340-1138400</f>
        <v>2861600</v>
      </c>
      <c r="G39" s="3">
        <v>0</v>
      </c>
      <c r="H39" s="3">
        <v>0</v>
      </c>
      <c r="I39" s="3">
        <v>0</v>
      </c>
      <c r="J39" s="48">
        <v>0</v>
      </c>
      <c r="K39" s="63">
        <v>0</v>
      </c>
      <c r="L39" s="3">
        <v>0</v>
      </c>
      <c r="M39" s="43">
        <v>0</v>
      </c>
    </row>
    <row r="40" spans="1:13" ht="75" customHeight="1" x14ac:dyDescent="0.3">
      <c r="A40" s="6" t="s">
        <v>37</v>
      </c>
      <c r="B40" s="1" t="s">
        <v>5</v>
      </c>
      <c r="C40" s="1" t="s">
        <v>6</v>
      </c>
      <c r="D40" s="3">
        <f t="shared" si="12"/>
        <v>991268.47</v>
      </c>
      <c r="E40" s="3">
        <v>0</v>
      </c>
      <c r="F40" s="3">
        <f>800000-83031.53</f>
        <v>716968.47</v>
      </c>
      <c r="G40" s="3">
        <f>0+274300</f>
        <v>274300</v>
      </c>
      <c r="H40" s="3">
        <v>0</v>
      </c>
      <c r="I40" s="3">
        <v>0</v>
      </c>
      <c r="J40" s="48">
        <v>0</v>
      </c>
      <c r="K40" s="63">
        <v>0</v>
      </c>
      <c r="L40" s="3">
        <v>0</v>
      </c>
      <c r="M40" s="43">
        <v>0</v>
      </c>
    </row>
    <row r="41" spans="1:13" ht="78" customHeight="1" x14ac:dyDescent="0.3">
      <c r="A41" s="6" t="s">
        <v>38</v>
      </c>
      <c r="B41" s="1" t="s">
        <v>5</v>
      </c>
      <c r="C41" s="1" t="s">
        <v>6</v>
      </c>
      <c r="D41" s="3">
        <f t="shared" si="12"/>
        <v>552092.94999999995</v>
      </c>
      <c r="E41" s="3">
        <v>0</v>
      </c>
      <c r="F41" s="3">
        <v>0</v>
      </c>
      <c r="G41" s="3">
        <f>500000-32584.05</f>
        <v>467415.95</v>
      </c>
      <c r="H41" s="3">
        <f>84865-188</f>
        <v>84677</v>
      </c>
      <c r="I41" s="3">
        <v>0</v>
      </c>
      <c r="J41" s="48">
        <v>0</v>
      </c>
      <c r="K41" s="63">
        <v>0</v>
      </c>
      <c r="L41" s="3">
        <v>0</v>
      </c>
      <c r="M41" s="43">
        <v>0</v>
      </c>
    </row>
    <row r="42" spans="1:13" ht="81.75" customHeight="1" x14ac:dyDescent="0.3">
      <c r="A42" s="6" t="s">
        <v>110</v>
      </c>
      <c r="B42" s="1" t="s">
        <v>29</v>
      </c>
      <c r="C42" s="1" t="s">
        <v>6</v>
      </c>
      <c r="D42" s="3">
        <f t="shared" si="12"/>
        <v>715000</v>
      </c>
      <c r="E42" s="3">
        <v>0</v>
      </c>
      <c r="F42" s="3">
        <v>0</v>
      </c>
      <c r="G42" s="3">
        <v>180000</v>
      </c>
      <c r="H42" s="3">
        <v>180000</v>
      </c>
      <c r="I42" s="3">
        <v>230000</v>
      </c>
      <c r="J42" s="48">
        <v>125000</v>
      </c>
      <c r="K42" s="63">
        <v>0</v>
      </c>
      <c r="L42" s="3">
        <v>0</v>
      </c>
      <c r="M42" s="43">
        <v>0</v>
      </c>
    </row>
    <row r="43" spans="1:13" ht="85.5" customHeight="1" x14ac:dyDescent="0.3">
      <c r="A43" s="6" t="s">
        <v>111</v>
      </c>
      <c r="B43" s="1" t="s">
        <v>5</v>
      </c>
      <c r="C43" s="1" t="s">
        <v>6</v>
      </c>
      <c r="D43" s="3">
        <f t="shared" si="12"/>
        <v>9340</v>
      </c>
      <c r="E43" s="3">
        <v>0</v>
      </c>
      <c r="F43" s="3">
        <v>0</v>
      </c>
      <c r="G43" s="3">
        <v>2790</v>
      </c>
      <c r="H43" s="3">
        <f>6550</f>
        <v>6550</v>
      </c>
      <c r="I43" s="3">
        <v>0</v>
      </c>
      <c r="J43" s="48">
        <v>0</v>
      </c>
      <c r="K43" s="63">
        <v>0</v>
      </c>
      <c r="L43" s="3">
        <v>0</v>
      </c>
      <c r="M43" s="43">
        <v>0</v>
      </c>
    </row>
    <row r="44" spans="1:13" ht="100.5" customHeight="1" x14ac:dyDescent="0.3">
      <c r="A44" s="6" t="s">
        <v>112</v>
      </c>
      <c r="B44" s="1" t="s">
        <v>5</v>
      </c>
      <c r="C44" s="1" t="s">
        <v>6</v>
      </c>
      <c r="D44" s="3">
        <f t="shared" si="12"/>
        <v>194970</v>
      </c>
      <c r="E44" s="3">
        <v>0</v>
      </c>
      <c r="F44" s="3">
        <v>0</v>
      </c>
      <c r="G44" s="3">
        <v>0</v>
      </c>
      <c r="H44" s="3">
        <f>582000-387030</f>
        <v>194970</v>
      </c>
      <c r="I44" s="3">
        <v>0</v>
      </c>
      <c r="J44" s="48">
        <v>0</v>
      </c>
      <c r="K44" s="63">
        <v>0</v>
      </c>
      <c r="L44" s="3">
        <v>0</v>
      </c>
      <c r="M44" s="43">
        <v>0</v>
      </c>
    </row>
    <row r="45" spans="1:13" ht="46.95" customHeight="1" x14ac:dyDescent="0.3">
      <c r="A45" s="97" t="s">
        <v>113</v>
      </c>
      <c r="B45" s="78"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63">
        <f t="shared" si="13"/>
        <v>0</v>
      </c>
      <c r="L45" s="3">
        <f t="shared" si="13"/>
        <v>0</v>
      </c>
      <c r="M45" s="28">
        <f t="shared" si="13"/>
        <v>0</v>
      </c>
    </row>
    <row r="46" spans="1:13" ht="49.2" customHeight="1" x14ac:dyDescent="0.3">
      <c r="A46" s="98"/>
      <c r="B46" s="79"/>
      <c r="C46" s="1" t="s">
        <v>6</v>
      </c>
      <c r="D46" s="3">
        <f t="shared" si="12"/>
        <v>1320000</v>
      </c>
      <c r="E46" s="3">
        <v>0</v>
      </c>
      <c r="F46" s="3">
        <v>0</v>
      </c>
      <c r="G46" s="3">
        <v>0</v>
      </c>
      <c r="H46" s="3">
        <v>0</v>
      </c>
      <c r="I46" s="3">
        <v>1320000</v>
      </c>
      <c r="J46" s="48">
        <v>0</v>
      </c>
      <c r="K46" s="63">
        <v>0</v>
      </c>
      <c r="L46" s="3">
        <v>0</v>
      </c>
      <c r="M46" s="43">
        <v>0</v>
      </c>
    </row>
    <row r="47" spans="1:13" ht="42.6" customHeight="1" x14ac:dyDescent="0.3">
      <c r="A47" s="99"/>
      <c r="B47" s="80"/>
      <c r="C47" s="1" t="s">
        <v>27</v>
      </c>
      <c r="D47" s="3">
        <f t="shared" si="12"/>
        <v>10680000</v>
      </c>
      <c r="E47" s="3">
        <v>0</v>
      </c>
      <c r="F47" s="3">
        <v>0</v>
      </c>
      <c r="G47" s="3">
        <v>0</v>
      </c>
      <c r="H47" s="3">
        <v>0</v>
      </c>
      <c r="I47" s="3">
        <v>10680000</v>
      </c>
      <c r="J47" s="48">
        <v>0</v>
      </c>
      <c r="K47" s="63">
        <v>0</v>
      </c>
      <c r="L47" s="3">
        <v>0</v>
      </c>
      <c r="M47" s="43">
        <v>0</v>
      </c>
    </row>
    <row r="48" spans="1:13" ht="79.95" customHeight="1" x14ac:dyDescent="0.3">
      <c r="A48" s="57" t="s">
        <v>134</v>
      </c>
      <c r="B48" s="40" t="s">
        <v>5</v>
      </c>
      <c r="C48" s="1" t="s">
        <v>6</v>
      </c>
      <c r="D48" s="3">
        <f t="shared" si="12"/>
        <v>2881600</v>
      </c>
      <c r="E48" s="3">
        <v>0</v>
      </c>
      <c r="F48" s="3">
        <v>0</v>
      </c>
      <c r="G48" s="3">
        <v>0</v>
      </c>
      <c r="H48" s="3">
        <v>0</v>
      </c>
      <c r="I48" s="3">
        <v>0</v>
      </c>
      <c r="J48" s="48">
        <v>2881600</v>
      </c>
      <c r="K48" s="63">
        <v>0</v>
      </c>
      <c r="L48" s="3">
        <v>0</v>
      </c>
      <c r="M48" s="43">
        <v>0</v>
      </c>
    </row>
    <row r="49" spans="1:13" ht="79.95" customHeight="1" x14ac:dyDescent="0.3">
      <c r="A49" s="57" t="s">
        <v>144</v>
      </c>
      <c r="B49" s="40" t="s">
        <v>5</v>
      </c>
      <c r="C49" s="1" t="s">
        <v>6</v>
      </c>
      <c r="D49" s="3">
        <f t="shared" si="12"/>
        <v>477693</v>
      </c>
      <c r="E49" s="3">
        <v>0</v>
      </c>
      <c r="F49" s="3">
        <v>0</v>
      </c>
      <c r="G49" s="3">
        <v>0</v>
      </c>
      <c r="H49" s="3">
        <v>0</v>
      </c>
      <c r="I49" s="3">
        <v>0</v>
      </c>
      <c r="J49" s="48">
        <v>477693</v>
      </c>
      <c r="K49" s="63">
        <v>0</v>
      </c>
      <c r="L49" s="3">
        <v>0</v>
      </c>
      <c r="M49" s="43">
        <v>0</v>
      </c>
    </row>
    <row r="50" spans="1:13" s="53" customFormat="1" ht="78" customHeight="1" x14ac:dyDescent="0.3">
      <c r="A50" s="44" t="s">
        <v>114</v>
      </c>
      <c r="B50" s="14" t="s">
        <v>5</v>
      </c>
      <c r="C50" s="14" t="s">
        <v>17</v>
      </c>
      <c r="D50" s="33">
        <f>D51+D52+D53</f>
        <v>6472633.6800000016</v>
      </c>
      <c r="E50" s="33">
        <f t="shared" ref="E50:M50" si="14">E51+E52+E53</f>
        <v>1059883.27</v>
      </c>
      <c r="F50" s="33">
        <f t="shared" si="14"/>
        <v>526197.83000000031</v>
      </c>
      <c r="G50" s="33">
        <f t="shared" si="14"/>
        <v>438780.2300000001</v>
      </c>
      <c r="H50" s="33">
        <f t="shared" si="14"/>
        <v>1020305.34</v>
      </c>
      <c r="I50" s="33">
        <f t="shared" si="14"/>
        <v>1078556.44</v>
      </c>
      <c r="J50" s="51">
        <f t="shared" si="14"/>
        <v>1108770.3699999999</v>
      </c>
      <c r="K50" s="65">
        <f t="shared" si="14"/>
        <v>1240140.2</v>
      </c>
      <c r="L50" s="33">
        <f t="shared" si="14"/>
        <v>0</v>
      </c>
      <c r="M50" s="56">
        <f t="shared" si="14"/>
        <v>0</v>
      </c>
    </row>
    <row r="51" spans="1:13" ht="187.5" customHeight="1" x14ac:dyDescent="0.3">
      <c r="A51" s="6" t="s">
        <v>115</v>
      </c>
      <c r="B51" s="1" t="s">
        <v>5</v>
      </c>
      <c r="C51" s="1" t="s">
        <v>6</v>
      </c>
      <c r="D51" s="3">
        <f>SUM(E51:M51)</f>
        <v>5584918.9700000016</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63">
        <f>1097140-16999.8</f>
        <v>1080140.2</v>
      </c>
      <c r="L51" s="3">
        <v>0</v>
      </c>
      <c r="M51" s="43">
        <v>0</v>
      </c>
    </row>
    <row r="52" spans="1:13" ht="84.75" customHeight="1" x14ac:dyDescent="0.3">
      <c r="A52" s="6" t="s">
        <v>116</v>
      </c>
      <c r="B52" s="1" t="s">
        <v>5</v>
      </c>
      <c r="C52" s="1" t="s">
        <v>6</v>
      </c>
      <c r="D52" s="3">
        <f>SUM(E52:M52)</f>
        <v>805294.69</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63">
        <v>160000</v>
      </c>
      <c r="L52" s="3">
        <v>0</v>
      </c>
      <c r="M52" s="43">
        <v>0</v>
      </c>
    </row>
    <row r="53" spans="1:13" ht="84.75" customHeight="1" thickBot="1" x14ac:dyDescent="0.35">
      <c r="A53" s="5" t="s">
        <v>117</v>
      </c>
      <c r="B53" s="5" t="s">
        <v>5</v>
      </c>
      <c r="C53" s="5" t="s">
        <v>6</v>
      </c>
      <c r="D53" s="3">
        <f>SUM(E53:M53)</f>
        <v>82420.01999999999</v>
      </c>
      <c r="E53" s="3">
        <v>0</v>
      </c>
      <c r="F53" s="3">
        <v>0</v>
      </c>
      <c r="G53" s="3">
        <v>0</v>
      </c>
      <c r="H53" s="3">
        <f>283804.36-201384.34</f>
        <v>82420.01999999999</v>
      </c>
      <c r="I53" s="3">
        <v>0</v>
      </c>
      <c r="J53" s="48">
        <v>0</v>
      </c>
      <c r="K53" s="63">
        <v>0</v>
      </c>
      <c r="L53" s="3">
        <v>0</v>
      </c>
      <c r="M53" s="43">
        <v>0</v>
      </c>
    </row>
    <row r="54" spans="1:13" s="53" customFormat="1" ht="37.950000000000003" customHeight="1" x14ac:dyDescent="0.3">
      <c r="A54" s="95" t="s">
        <v>118</v>
      </c>
      <c r="B54" s="79" t="s">
        <v>5</v>
      </c>
      <c r="C54" s="41" t="s">
        <v>17</v>
      </c>
      <c r="D54" s="33">
        <f>D55+D56</f>
        <v>69729717.219999984</v>
      </c>
      <c r="E54" s="33">
        <f>E55+E56</f>
        <v>8929994.9000000004</v>
      </c>
      <c r="F54" s="33">
        <f>F55+F56</f>
        <v>5795806.9100000001</v>
      </c>
      <c r="G54" s="33">
        <f t="shared" ref="G54:M54" si="15">G55+G56</f>
        <v>4477014.1199999992</v>
      </c>
      <c r="H54" s="33">
        <f t="shared" si="15"/>
        <v>6186067.6600000001</v>
      </c>
      <c r="I54" s="33">
        <f t="shared" si="15"/>
        <v>14410955.48</v>
      </c>
      <c r="J54" s="51">
        <f t="shared" si="15"/>
        <v>10590669.6</v>
      </c>
      <c r="K54" s="65">
        <f t="shared" si="15"/>
        <v>18072079.27</v>
      </c>
      <c r="L54" s="33">
        <f t="shared" si="15"/>
        <v>654262.64</v>
      </c>
      <c r="M54" s="56">
        <f t="shared" si="15"/>
        <v>612866.64</v>
      </c>
    </row>
    <row r="55" spans="1:13" ht="37.950000000000003" customHeight="1" x14ac:dyDescent="0.3">
      <c r="A55" s="95"/>
      <c r="B55" s="79"/>
      <c r="C55" s="40" t="s">
        <v>6</v>
      </c>
      <c r="D55" s="3">
        <f>D57+D60+D61+D62+D64+D66+D67+D68+D69+D70+D71</f>
        <v>66157611.329999991</v>
      </c>
      <c r="E55" s="3">
        <f t="shared" ref="E55:H55" si="16">E57+E60+E61+E62+E64+E66+E67+E68+E69+E70+E71</f>
        <v>5357889.01</v>
      </c>
      <c r="F55" s="3">
        <f t="shared" si="16"/>
        <v>5795806.9100000001</v>
      </c>
      <c r="G55" s="3">
        <f t="shared" si="16"/>
        <v>4477014.1199999992</v>
      </c>
      <c r="H55" s="3">
        <f t="shared" si="16"/>
        <v>6186067.6600000001</v>
      </c>
      <c r="I55" s="3">
        <f>I58+I60+I61+I69+I71</f>
        <v>14410955.48</v>
      </c>
      <c r="J55" s="48">
        <f t="shared" ref="J55:M55" si="17">J57+J60+J61+J62+J64+J66+J67+J68+J69+J70+J71</f>
        <v>10590669.6</v>
      </c>
      <c r="K55" s="63">
        <f t="shared" si="17"/>
        <v>18072079.27</v>
      </c>
      <c r="L55" s="3">
        <f t="shared" si="17"/>
        <v>654262.64</v>
      </c>
      <c r="M55" s="28">
        <f t="shared" si="17"/>
        <v>612866.64</v>
      </c>
    </row>
    <row r="56" spans="1:13" ht="37.950000000000003" customHeight="1" x14ac:dyDescent="0.3">
      <c r="A56" s="96"/>
      <c r="B56" s="80"/>
      <c r="C56" s="40" t="s">
        <v>27</v>
      </c>
      <c r="D56" s="3">
        <f>D65</f>
        <v>3572105.89</v>
      </c>
      <c r="E56" s="3">
        <f t="shared" ref="E56:M56" si="18">E65</f>
        <v>3572105.89</v>
      </c>
      <c r="F56" s="3">
        <f t="shared" si="18"/>
        <v>0</v>
      </c>
      <c r="G56" s="3">
        <f t="shared" si="18"/>
        <v>0</v>
      </c>
      <c r="H56" s="3">
        <f t="shared" si="18"/>
        <v>0</v>
      </c>
      <c r="I56" s="3">
        <f t="shared" si="18"/>
        <v>0</v>
      </c>
      <c r="J56" s="48">
        <f t="shared" si="18"/>
        <v>0</v>
      </c>
      <c r="K56" s="63">
        <f t="shared" si="18"/>
        <v>0</v>
      </c>
      <c r="L56" s="3">
        <f t="shared" si="18"/>
        <v>0</v>
      </c>
      <c r="M56" s="28">
        <f t="shared" si="18"/>
        <v>0</v>
      </c>
    </row>
    <row r="57" spans="1:13" ht="30" customHeight="1" x14ac:dyDescent="0.3">
      <c r="A57" s="97" t="s">
        <v>119</v>
      </c>
      <c r="B57" s="78" t="s">
        <v>5</v>
      </c>
      <c r="C57" s="1" t="s">
        <v>17</v>
      </c>
      <c r="D57" s="3">
        <f t="shared" ref="D57:D71" si="19">SUM(E57:M57)</f>
        <v>33817343.729999997</v>
      </c>
      <c r="E57" s="3">
        <f>E58+E59</f>
        <v>2063208.5899999999</v>
      </c>
      <c r="F57" s="3">
        <f>F58+F59</f>
        <v>3330133.05</v>
      </c>
      <c r="G57" s="3">
        <f t="shared" ref="G57:M57" si="20">G58+G59</f>
        <v>1791035.1199999999</v>
      </c>
      <c r="H57" s="3">
        <f t="shared" si="20"/>
        <v>1762531.4400000002</v>
      </c>
      <c r="I57" s="3">
        <f t="shared" si="20"/>
        <v>7660805.2999999998</v>
      </c>
      <c r="J57" s="48">
        <f t="shared" si="20"/>
        <v>5544506.7599999998</v>
      </c>
      <c r="K57" s="63">
        <f t="shared" si="20"/>
        <v>10815564.189999999</v>
      </c>
      <c r="L57" s="3">
        <f t="shared" si="20"/>
        <v>445477.64</v>
      </c>
      <c r="M57" s="28">
        <f t="shared" si="20"/>
        <v>404081.64</v>
      </c>
    </row>
    <row r="58" spans="1:13" ht="45.75" customHeight="1" x14ac:dyDescent="0.3">
      <c r="A58" s="98"/>
      <c r="B58" s="80"/>
      <c r="C58" s="40" t="s">
        <v>6</v>
      </c>
      <c r="D58" s="3">
        <f t="shared" si="19"/>
        <v>31773905.509999998</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63">
        <v>10815564.189999999</v>
      </c>
      <c r="L58" s="3">
        <v>445477.64</v>
      </c>
      <c r="M58" s="43">
        <v>404081.64</v>
      </c>
    </row>
    <row r="59" spans="1:13" ht="57.75" customHeight="1" x14ac:dyDescent="0.3">
      <c r="A59" s="99"/>
      <c r="B59" s="1" t="s">
        <v>29</v>
      </c>
      <c r="C59" s="40" t="s">
        <v>6</v>
      </c>
      <c r="D59" s="3">
        <f t="shared" si="19"/>
        <v>2043438.22</v>
      </c>
      <c r="E59" s="3">
        <v>619148.22</v>
      </c>
      <c r="F59" s="3">
        <f>1636390-212100</f>
        <v>1424290</v>
      </c>
      <c r="G59" s="3">
        <v>0</v>
      </c>
      <c r="H59" s="3">
        <v>0</v>
      </c>
      <c r="I59" s="3">
        <v>0</v>
      </c>
      <c r="J59" s="48">
        <v>0</v>
      </c>
      <c r="K59" s="63">
        <v>0</v>
      </c>
      <c r="L59" s="3">
        <v>0</v>
      </c>
      <c r="M59" s="43">
        <v>0</v>
      </c>
    </row>
    <row r="60" spans="1:13" ht="84" customHeight="1" x14ac:dyDescent="0.3">
      <c r="A60" s="6" t="s">
        <v>120</v>
      </c>
      <c r="B60" s="1" t="s">
        <v>5</v>
      </c>
      <c r="C60" s="1" t="s">
        <v>6</v>
      </c>
      <c r="D60" s="3">
        <f t="shared" si="19"/>
        <v>2214274.12</v>
      </c>
      <c r="E60" s="3">
        <v>662817.76</v>
      </c>
      <c r="F60" s="3">
        <f>239040-104370</f>
        <v>134670</v>
      </c>
      <c r="G60" s="3">
        <f>365850.6-172489.24</f>
        <v>193361.36</v>
      </c>
      <c r="H60" s="3">
        <f>304061.55-156550-38407.55</f>
        <v>109103.99999999999</v>
      </c>
      <c r="I60" s="3">
        <v>106251</v>
      </c>
      <c r="J60" s="48">
        <v>381715</v>
      </c>
      <c r="K60" s="63">
        <v>208785</v>
      </c>
      <c r="L60" s="3">
        <v>208785</v>
      </c>
      <c r="M60" s="43">
        <v>208785</v>
      </c>
    </row>
    <row r="61" spans="1:13" ht="73.5" customHeight="1" x14ac:dyDescent="0.3">
      <c r="A61" s="6" t="s">
        <v>121</v>
      </c>
      <c r="B61" s="1" t="s">
        <v>5</v>
      </c>
      <c r="C61" s="17" t="s">
        <v>6</v>
      </c>
      <c r="D61" s="3">
        <f t="shared" si="19"/>
        <v>21002550.390000001</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63">
        <v>7047730.0800000001</v>
      </c>
      <c r="L61" s="3">
        <v>0</v>
      </c>
      <c r="M61" s="43">
        <v>0</v>
      </c>
    </row>
    <row r="62" spans="1:13" ht="82.5" customHeight="1" x14ac:dyDescent="0.3">
      <c r="A62" s="6" t="s">
        <v>122</v>
      </c>
      <c r="B62" s="1" t="s">
        <v>29</v>
      </c>
      <c r="C62" s="17" t="s">
        <v>6</v>
      </c>
      <c r="D62" s="3">
        <f t="shared" si="19"/>
        <v>122000</v>
      </c>
      <c r="E62" s="3">
        <f>120000+2000</f>
        <v>122000</v>
      </c>
      <c r="F62" s="3">
        <v>0</v>
      </c>
      <c r="G62" s="3">
        <v>0</v>
      </c>
      <c r="H62" s="3">
        <v>0</v>
      </c>
      <c r="I62" s="3">
        <v>0</v>
      </c>
      <c r="J62" s="48">
        <v>0</v>
      </c>
      <c r="K62" s="63">
        <v>0</v>
      </c>
      <c r="L62" s="3">
        <v>0</v>
      </c>
      <c r="M62" s="43">
        <v>0</v>
      </c>
    </row>
    <row r="63" spans="1:13" ht="38.85" customHeight="1" x14ac:dyDescent="0.3">
      <c r="A63" s="97" t="s">
        <v>123</v>
      </c>
      <c r="B63" s="78" t="s">
        <v>29</v>
      </c>
      <c r="C63" s="40" t="s">
        <v>17</v>
      </c>
      <c r="D63" s="3">
        <f t="shared" si="19"/>
        <v>4105869</v>
      </c>
      <c r="E63" s="3">
        <f>E64+E65</f>
        <v>4105869</v>
      </c>
      <c r="F63" s="3">
        <f>F64+F65</f>
        <v>0</v>
      </c>
      <c r="G63" s="3">
        <f t="shared" ref="G63:H63" si="21">G64+G65</f>
        <v>0</v>
      </c>
      <c r="H63" s="3">
        <f t="shared" si="21"/>
        <v>0</v>
      </c>
      <c r="I63" s="3">
        <v>0</v>
      </c>
      <c r="J63" s="48">
        <v>0</v>
      </c>
      <c r="K63" s="63">
        <v>0</v>
      </c>
      <c r="L63" s="3">
        <v>0</v>
      </c>
      <c r="M63" s="43">
        <v>0</v>
      </c>
    </row>
    <row r="64" spans="1:13" ht="38.85" customHeight="1" x14ac:dyDescent="0.3">
      <c r="A64" s="98"/>
      <c r="B64" s="79"/>
      <c r="C64" s="40" t="s">
        <v>6</v>
      </c>
      <c r="D64" s="3">
        <f t="shared" si="19"/>
        <v>533763.1100000001</v>
      </c>
      <c r="E64" s="3">
        <f>643500.17-109737.06</f>
        <v>533763.1100000001</v>
      </c>
      <c r="F64" s="3">
        <v>0</v>
      </c>
      <c r="G64" s="3">
        <v>0</v>
      </c>
      <c r="H64" s="3">
        <v>0</v>
      </c>
      <c r="I64" s="3">
        <v>0</v>
      </c>
      <c r="J64" s="48">
        <v>0</v>
      </c>
      <c r="K64" s="63">
        <v>0</v>
      </c>
      <c r="L64" s="3">
        <v>0</v>
      </c>
      <c r="M64" s="43">
        <v>0</v>
      </c>
    </row>
    <row r="65" spans="1:13" ht="38.85" customHeight="1" x14ac:dyDescent="0.3">
      <c r="A65" s="99"/>
      <c r="B65" s="80"/>
      <c r="C65" s="40" t="s">
        <v>27</v>
      </c>
      <c r="D65" s="3">
        <f t="shared" si="19"/>
        <v>3572105.89</v>
      </c>
      <c r="E65" s="3">
        <f>4306499.83-734393.94</f>
        <v>3572105.89</v>
      </c>
      <c r="F65" s="3">
        <v>0</v>
      </c>
      <c r="G65" s="3">
        <v>0</v>
      </c>
      <c r="H65" s="3">
        <v>0</v>
      </c>
      <c r="I65" s="3">
        <v>0</v>
      </c>
      <c r="J65" s="48">
        <v>0</v>
      </c>
      <c r="K65" s="63">
        <v>0</v>
      </c>
      <c r="L65" s="3">
        <v>0</v>
      </c>
      <c r="M65" s="43">
        <v>0</v>
      </c>
    </row>
    <row r="66" spans="1:13" ht="78" customHeight="1" x14ac:dyDescent="0.3">
      <c r="A66" s="18" t="s">
        <v>124</v>
      </c>
      <c r="B66" s="1" t="s">
        <v>5</v>
      </c>
      <c r="C66" s="17" t="s">
        <v>6</v>
      </c>
      <c r="D66" s="3">
        <f t="shared" si="19"/>
        <v>0</v>
      </c>
      <c r="E66" s="3">
        <v>0</v>
      </c>
      <c r="F66" s="3">
        <v>0</v>
      </c>
      <c r="G66" s="3">
        <v>0</v>
      </c>
      <c r="H66" s="3">
        <v>0</v>
      </c>
      <c r="I66" s="3">
        <v>0</v>
      </c>
      <c r="J66" s="48">
        <v>0</v>
      </c>
      <c r="K66" s="63">
        <v>0</v>
      </c>
      <c r="L66" s="3">
        <v>0</v>
      </c>
      <c r="M66" s="43">
        <v>0</v>
      </c>
    </row>
    <row r="67" spans="1:13" ht="111.6" customHeight="1" x14ac:dyDescent="0.3">
      <c r="A67" s="18" t="s">
        <v>125</v>
      </c>
      <c r="B67" s="1" t="s">
        <v>5</v>
      </c>
      <c r="C67" s="17" t="s">
        <v>6</v>
      </c>
      <c r="D67" s="3">
        <f t="shared" si="19"/>
        <v>214840.98</v>
      </c>
      <c r="E67" s="3">
        <v>0</v>
      </c>
      <c r="F67" s="3">
        <f>255403.79-40562.81</f>
        <v>214840.98</v>
      </c>
      <c r="G67" s="3">
        <v>0</v>
      </c>
      <c r="H67" s="3">
        <v>0</v>
      </c>
      <c r="I67" s="3">
        <v>0</v>
      </c>
      <c r="J67" s="48">
        <v>0</v>
      </c>
      <c r="K67" s="63">
        <v>0</v>
      </c>
      <c r="L67" s="3">
        <v>0</v>
      </c>
      <c r="M67" s="43">
        <v>0</v>
      </c>
    </row>
    <row r="68" spans="1:13" ht="78.75" customHeight="1" x14ac:dyDescent="0.3">
      <c r="A68" s="18" t="s">
        <v>126</v>
      </c>
      <c r="B68" s="1" t="s">
        <v>5</v>
      </c>
      <c r="C68" s="17" t="s">
        <v>6</v>
      </c>
      <c r="D68" s="3">
        <f t="shared" si="19"/>
        <v>2086029.26</v>
      </c>
      <c r="E68" s="3">
        <v>0</v>
      </c>
      <c r="F68" s="3">
        <v>0</v>
      </c>
      <c r="G68" s="3">
        <f>787000+182120+96912</f>
        <v>1066032</v>
      </c>
      <c r="H68" s="3">
        <v>1019997.26</v>
      </c>
      <c r="I68" s="3">
        <v>0</v>
      </c>
      <c r="J68" s="48">
        <v>0</v>
      </c>
      <c r="K68" s="63">
        <v>0</v>
      </c>
      <c r="L68" s="3">
        <v>0</v>
      </c>
      <c r="M68" s="43">
        <v>0</v>
      </c>
    </row>
    <row r="69" spans="1:13" ht="85.95" customHeight="1" x14ac:dyDescent="0.3">
      <c r="A69" s="18" t="s">
        <v>127</v>
      </c>
      <c r="B69" s="1" t="s">
        <v>5</v>
      </c>
      <c r="C69" s="1" t="s">
        <v>6</v>
      </c>
      <c r="D69" s="3">
        <f t="shared" si="19"/>
        <v>5709977.5300000003</v>
      </c>
      <c r="E69" s="3">
        <v>0</v>
      </c>
      <c r="F69" s="3">
        <v>0</v>
      </c>
      <c r="G69" s="3">
        <f>181248+345504</f>
        <v>526752</v>
      </c>
      <c r="H69" s="3">
        <v>1140359.05</v>
      </c>
      <c r="I69" s="3">
        <v>2467407.12</v>
      </c>
      <c r="J69" s="48">
        <v>1575459.36</v>
      </c>
      <c r="K69" s="63">
        <v>0</v>
      </c>
      <c r="L69" s="3">
        <v>0</v>
      </c>
      <c r="M69" s="43">
        <v>0</v>
      </c>
    </row>
    <row r="70" spans="1:13" ht="81" customHeight="1" x14ac:dyDescent="0.3">
      <c r="A70" s="18" t="s">
        <v>128</v>
      </c>
      <c r="B70" s="1" t="s">
        <v>5</v>
      </c>
      <c r="C70" s="1" t="s">
        <v>6</v>
      </c>
      <c r="D70" s="3">
        <f t="shared" si="19"/>
        <v>77617.03</v>
      </c>
      <c r="E70" s="3">
        <v>0</v>
      </c>
      <c r="F70" s="3">
        <v>0</v>
      </c>
      <c r="G70" s="3">
        <v>0</v>
      </c>
      <c r="H70" s="3">
        <f>232712.63-155095.6</f>
        <v>77617.03</v>
      </c>
      <c r="I70" s="3">
        <v>0</v>
      </c>
      <c r="J70" s="48">
        <v>0</v>
      </c>
      <c r="K70" s="63">
        <v>0</v>
      </c>
      <c r="L70" s="3">
        <v>0</v>
      </c>
      <c r="M70" s="43">
        <v>0</v>
      </c>
    </row>
    <row r="71" spans="1:13" ht="81" customHeight="1" x14ac:dyDescent="0.3">
      <c r="A71" s="18" t="s">
        <v>129</v>
      </c>
      <c r="B71" s="1" t="s">
        <v>5</v>
      </c>
      <c r="C71" s="1" t="s">
        <v>6</v>
      </c>
      <c r="D71" s="3">
        <f t="shared" si="19"/>
        <v>379215.17999999993</v>
      </c>
      <c r="E71" s="3">
        <v>0</v>
      </c>
      <c r="F71" s="3">
        <v>0</v>
      </c>
      <c r="G71" s="3">
        <v>0</v>
      </c>
      <c r="H71" s="3">
        <v>0</v>
      </c>
      <c r="I71" s="3">
        <v>379215.17999999993</v>
      </c>
      <c r="J71" s="48">
        <v>0</v>
      </c>
      <c r="K71" s="63">
        <v>0</v>
      </c>
      <c r="L71" s="3">
        <v>0</v>
      </c>
      <c r="M71" s="43">
        <v>0</v>
      </c>
    </row>
    <row r="72" spans="1:13" s="53" customFormat="1" ht="76.5" customHeight="1" x14ac:dyDescent="0.3">
      <c r="A72" s="44" t="s">
        <v>130</v>
      </c>
      <c r="B72" s="14" t="s">
        <v>5</v>
      </c>
      <c r="C72" s="14" t="s">
        <v>6</v>
      </c>
      <c r="D72" s="33">
        <f>D73+D74+D75+D76+D77</f>
        <v>237955956.44999999</v>
      </c>
      <c r="E72" s="33">
        <f t="shared" ref="E72:M72" si="22">E73+E74+E75+E76+E77</f>
        <v>14664066.210000001</v>
      </c>
      <c r="F72" s="33">
        <f t="shared" si="22"/>
        <v>18889782.289999999</v>
      </c>
      <c r="G72" s="33">
        <f t="shared" si="22"/>
        <v>23582913.379999999</v>
      </c>
      <c r="H72" s="33">
        <f t="shared" si="22"/>
        <v>23904950.569999997</v>
      </c>
      <c r="I72" s="33">
        <f t="shared" si="22"/>
        <v>28009821.23</v>
      </c>
      <c r="J72" s="51">
        <f t="shared" si="22"/>
        <v>32510161.359999999</v>
      </c>
      <c r="K72" s="65">
        <f t="shared" si="22"/>
        <v>32138217.649999999</v>
      </c>
      <c r="L72" s="33">
        <f t="shared" si="22"/>
        <v>32107323.879999999</v>
      </c>
      <c r="M72" s="56">
        <f t="shared" si="22"/>
        <v>32148719.879999999</v>
      </c>
    </row>
    <row r="73" spans="1:13" ht="76.5" customHeight="1" x14ac:dyDescent="0.3">
      <c r="A73" s="6" t="s">
        <v>131</v>
      </c>
      <c r="B73" s="1" t="s">
        <v>5</v>
      </c>
      <c r="C73" s="1" t="s">
        <v>6</v>
      </c>
      <c r="D73" s="3">
        <f>SUM(E73:M73)</f>
        <v>231925010.64999998</v>
      </c>
      <c r="E73" s="46">
        <v>13961599.640000001</v>
      </c>
      <c r="F73" s="46">
        <f>15858711.68+2834159.61-848074.53</f>
        <v>17844796.759999998</v>
      </c>
      <c r="G73" s="46">
        <f>18692871.29+4204727.08</f>
        <v>22897598.369999997</v>
      </c>
      <c r="H73" s="46">
        <f>23195853.08+27599.79+220464</f>
        <v>23443916.869999997</v>
      </c>
      <c r="I73" s="46">
        <f>27146574.09+581.43</f>
        <v>27147155.52</v>
      </c>
      <c r="J73" s="34">
        <v>31648261.879999999</v>
      </c>
      <c r="K73" s="67">
        <f>31648261.88+36895.97</f>
        <v>31685157.849999998</v>
      </c>
      <c r="L73" s="46">
        <v>31648261.879999999</v>
      </c>
      <c r="M73" s="46">
        <v>31648261.879999999</v>
      </c>
    </row>
    <row r="74" spans="1:13" ht="73.5" customHeight="1" x14ac:dyDescent="0.3">
      <c r="A74" s="6" t="s">
        <v>132</v>
      </c>
      <c r="B74" s="1" t="s">
        <v>5</v>
      </c>
      <c r="C74" s="1" t="s">
        <v>6</v>
      </c>
      <c r="D74" s="3">
        <f>SUM(E74:M74)</f>
        <v>3198218</v>
      </c>
      <c r="E74" s="46">
        <f>174486</f>
        <v>174486</v>
      </c>
      <c r="F74" s="46">
        <f>385900-12328</f>
        <v>373572</v>
      </c>
      <c r="G74" s="46">
        <f>297092-10100</f>
        <v>286992</v>
      </c>
      <c r="H74" s="46">
        <f>314434-3400</f>
        <v>311034</v>
      </c>
      <c r="I74" s="46">
        <v>330852</v>
      </c>
      <c r="J74" s="34">
        <f>366032-26430</f>
        <v>339602</v>
      </c>
      <c r="K74" s="67">
        <v>422160</v>
      </c>
      <c r="L74" s="46">
        <v>459062</v>
      </c>
      <c r="M74" s="46">
        <v>500458</v>
      </c>
    </row>
    <row r="75" spans="1:13" ht="90.75" customHeight="1" x14ac:dyDescent="0.3">
      <c r="A75" s="6" t="s">
        <v>133</v>
      </c>
      <c r="B75" s="1" t="s">
        <v>5</v>
      </c>
      <c r="C75" s="1" t="s">
        <v>6</v>
      </c>
      <c r="D75" s="46">
        <f>SUM(E75:M75)</f>
        <v>19500</v>
      </c>
      <c r="E75" s="46">
        <v>0</v>
      </c>
      <c r="F75" s="46">
        <v>5600</v>
      </c>
      <c r="G75" s="46">
        <v>0</v>
      </c>
      <c r="H75" s="46">
        <v>0</v>
      </c>
      <c r="I75" s="46">
        <v>0</v>
      </c>
      <c r="J75" s="34">
        <v>0</v>
      </c>
      <c r="K75" s="67">
        <v>13900</v>
      </c>
      <c r="L75" s="46">
        <v>0</v>
      </c>
      <c r="M75" s="43">
        <v>0</v>
      </c>
    </row>
    <row r="76" spans="1:13" ht="96.75" customHeight="1" x14ac:dyDescent="0.3">
      <c r="A76" s="6" t="s">
        <v>60</v>
      </c>
      <c r="B76" s="1" t="s">
        <v>5</v>
      </c>
      <c r="C76" s="1" t="s">
        <v>6</v>
      </c>
      <c r="D76" s="46">
        <f>SUM(E76:M76)</f>
        <v>2722463.3699999996</v>
      </c>
      <c r="E76" s="46">
        <f>452480.57+75500</f>
        <v>527980.57000000007</v>
      </c>
      <c r="F76" s="46">
        <f>145000+557910.85-37097.32</f>
        <v>665813.53</v>
      </c>
      <c r="G76" s="46">
        <f>0+300000+102008.17-3685.16</f>
        <v>398323.01</v>
      </c>
      <c r="H76" s="46">
        <f>9999.7+140000</f>
        <v>149999.70000000001</v>
      </c>
      <c r="I76" s="46">
        <v>531813.71</v>
      </c>
      <c r="J76" s="34">
        <v>431533.05</v>
      </c>
      <c r="K76" s="67">
        <v>16999.8</v>
      </c>
      <c r="L76" s="46">
        <v>0</v>
      </c>
      <c r="M76" s="43">
        <v>0</v>
      </c>
    </row>
    <row r="77" spans="1:13" ht="96.75" customHeight="1" x14ac:dyDescent="0.3">
      <c r="A77" s="7" t="s">
        <v>61</v>
      </c>
      <c r="B77" s="1" t="s">
        <v>5</v>
      </c>
      <c r="C77" s="1" t="s">
        <v>6</v>
      </c>
      <c r="D77" s="46">
        <f>SUM(E77:M77)</f>
        <v>90764.43</v>
      </c>
      <c r="E77" s="46">
        <v>0</v>
      </c>
      <c r="F77" s="46">
        <v>0</v>
      </c>
      <c r="G77" s="46">
        <v>0</v>
      </c>
      <c r="H77" s="46">
        <v>0</v>
      </c>
      <c r="I77" s="46">
        <v>0</v>
      </c>
      <c r="J77" s="34">
        <v>90764.43</v>
      </c>
      <c r="K77" s="67">
        <v>0</v>
      </c>
      <c r="L77" s="46">
        <v>0</v>
      </c>
      <c r="M77" s="43">
        <v>0</v>
      </c>
    </row>
    <row r="78" spans="1:13" ht="38.85" customHeight="1" x14ac:dyDescent="0.3">
      <c r="A78" s="100" t="s">
        <v>142</v>
      </c>
      <c r="B78" s="84" t="s">
        <v>26</v>
      </c>
      <c r="C78" s="14" t="s">
        <v>17</v>
      </c>
      <c r="D78" s="31">
        <f>D79+D80</f>
        <v>2233899656.2600002</v>
      </c>
      <c r="E78" s="31">
        <f t="shared" ref="E78:M78" si="23">E79+E80</f>
        <v>143413098.41</v>
      </c>
      <c r="F78" s="31">
        <f t="shared" si="23"/>
        <v>189662549.77000004</v>
      </c>
      <c r="G78" s="31">
        <f t="shared" si="23"/>
        <v>229655560.42999998</v>
      </c>
      <c r="H78" s="31">
        <f t="shared" si="23"/>
        <v>253591107.39000002</v>
      </c>
      <c r="I78" s="31">
        <f t="shared" si="23"/>
        <v>292035638.84000003</v>
      </c>
      <c r="J78" s="47">
        <f t="shared" si="23"/>
        <v>292662139.48000002</v>
      </c>
      <c r="K78" s="62">
        <f t="shared" si="23"/>
        <v>311034313.98000002</v>
      </c>
      <c r="L78" s="31">
        <f t="shared" si="23"/>
        <v>260922623.97999999</v>
      </c>
      <c r="M78" s="45">
        <f t="shared" si="23"/>
        <v>260922623.97999999</v>
      </c>
    </row>
    <row r="79" spans="1:13" ht="38.85" customHeight="1" x14ac:dyDescent="0.3">
      <c r="A79" s="95"/>
      <c r="B79" s="82"/>
      <c r="C79" s="40" t="s">
        <v>6</v>
      </c>
      <c r="D79" s="31">
        <f>D83+D91+D110+D115+D116+D117+D118+D119+D120+D121+D123+D125+D128+D141+D142+D145+D126+D146+D147+D148+D149</f>
        <v>2187582426.96</v>
      </c>
      <c r="E79" s="31">
        <f t="shared" ref="E79:I79" si="24">E83+E91+E110+E115+E116+E117+E118+E119+E120+E121+E123+E125+E128+E141+E142+E145+E126+E146+E147</f>
        <v>143413098.41</v>
      </c>
      <c r="F79" s="31">
        <f t="shared" si="24"/>
        <v>182840520.47000003</v>
      </c>
      <c r="G79" s="31">
        <f t="shared" si="24"/>
        <v>225418260.42999998</v>
      </c>
      <c r="H79" s="31">
        <f t="shared" si="24"/>
        <v>253591107.39000002</v>
      </c>
      <c r="I79" s="31">
        <f t="shared" si="24"/>
        <v>286777738.84000003</v>
      </c>
      <c r="J79" s="47">
        <f>J83+J91+J110+J115+J116+J117+J118+J119+J120+J121+J123+J125+J128+J141+J142+J145+J126+J146+J147+J148+J149</f>
        <v>292662139.48000002</v>
      </c>
      <c r="K79" s="62">
        <f t="shared" ref="K79:M79" si="25">K83+K91+K110+K115+K116+K117+K118+K119+K120+K121+K123+K125+K128+K141+K142+K145+K126+K146+K147+K148+K149</f>
        <v>311034313.98000002</v>
      </c>
      <c r="L79" s="31">
        <f t="shared" si="25"/>
        <v>245922623.97999999</v>
      </c>
      <c r="M79" s="45">
        <f t="shared" si="25"/>
        <v>245922623.97999999</v>
      </c>
    </row>
    <row r="80" spans="1:13" ht="38.85" customHeight="1" x14ac:dyDescent="0.3">
      <c r="A80" s="96"/>
      <c r="B80" s="83"/>
      <c r="C80" s="40" t="s">
        <v>27</v>
      </c>
      <c r="D80" s="31">
        <f>D124+D129+D130</f>
        <v>46317229.299999997</v>
      </c>
      <c r="E80" s="31">
        <f t="shared" ref="E80:M80" si="26">E124+E129+E130</f>
        <v>0</v>
      </c>
      <c r="F80" s="31">
        <f t="shared" si="26"/>
        <v>6822029.2999999998</v>
      </c>
      <c r="G80" s="31">
        <f t="shared" si="26"/>
        <v>4237300</v>
      </c>
      <c r="H80" s="31">
        <f t="shared" si="26"/>
        <v>0</v>
      </c>
      <c r="I80" s="31">
        <f t="shared" si="26"/>
        <v>5257900</v>
      </c>
      <c r="J80" s="47">
        <f t="shared" si="26"/>
        <v>0</v>
      </c>
      <c r="K80" s="62">
        <f t="shared" si="26"/>
        <v>0</v>
      </c>
      <c r="L80" s="31">
        <f t="shared" si="26"/>
        <v>15000000</v>
      </c>
      <c r="M80" s="45">
        <f t="shared" si="26"/>
        <v>15000000</v>
      </c>
    </row>
    <row r="81" spans="1:16" ht="82.5" customHeight="1" x14ac:dyDescent="0.3">
      <c r="A81" s="6" t="s">
        <v>62</v>
      </c>
      <c r="B81" s="1" t="s">
        <v>22</v>
      </c>
      <c r="C81" s="1" t="s">
        <v>6</v>
      </c>
      <c r="D81" s="3" t="s">
        <v>7</v>
      </c>
      <c r="E81" s="3" t="s">
        <v>7</v>
      </c>
      <c r="F81" s="3" t="s">
        <v>7</v>
      </c>
      <c r="G81" s="3" t="s">
        <v>7</v>
      </c>
      <c r="H81" s="3" t="s">
        <v>7</v>
      </c>
      <c r="I81" s="3" t="s">
        <v>7</v>
      </c>
      <c r="J81" s="48" t="s">
        <v>7</v>
      </c>
      <c r="K81" s="63" t="s">
        <v>7</v>
      </c>
      <c r="L81" s="3" t="s">
        <v>7</v>
      </c>
      <c r="M81" s="28" t="s">
        <v>7</v>
      </c>
    </row>
    <row r="82" spans="1:16" ht="104.25" customHeight="1" x14ac:dyDescent="0.3">
      <c r="A82" s="7" t="s">
        <v>63</v>
      </c>
      <c r="B82" s="1" t="s">
        <v>13</v>
      </c>
      <c r="C82" s="1" t="s">
        <v>6</v>
      </c>
      <c r="D82" s="3" t="s">
        <v>7</v>
      </c>
      <c r="E82" s="3" t="s">
        <v>7</v>
      </c>
      <c r="F82" s="3" t="s">
        <v>7</v>
      </c>
      <c r="G82" s="3" t="s">
        <v>7</v>
      </c>
      <c r="H82" s="3" t="s">
        <v>7</v>
      </c>
      <c r="I82" s="3" t="s">
        <v>7</v>
      </c>
      <c r="J82" s="48" t="s">
        <v>7</v>
      </c>
      <c r="K82" s="63" t="s">
        <v>7</v>
      </c>
      <c r="L82" s="3" t="s">
        <v>7</v>
      </c>
      <c r="M82" s="28" t="s">
        <v>7</v>
      </c>
    </row>
    <row r="83" spans="1:16" s="53" customFormat="1" ht="115.5" customHeight="1" x14ac:dyDescent="0.3">
      <c r="A83" s="59" t="s">
        <v>64</v>
      </c>
      <c r="B83" s="14" t="s">
        <v>14</v>
      </c>
      <c r="C83" s="14" t="s">
        <v>17</v>
      </c>
      <c r="D83" s="33">
        <f>SUM(D84:D90)</f>
        <v>69585548</v>
      </c>
      <c r="E83" s="33">
        <f t="shared" ref="E83:M83" si="27">SUM(E84:E90)</f>
        <v>5475970</v>
      </c>
      <c r="F83" s="33">
        <f t="shared" si="27"/>
        <v>7867873</v>
      </c>
      <c r="G83" s="33">
        <f t="shared" si="27"/>
        <v>20110170</v>
      </c>
      <c r="H83" s="33">
        <f t="shared" si="27"/>
        <v>7765135</v>
      </c>
      <c r="I83" s="33">
        <f t="shared" si="27"/>
        <v>13392550</v>
      </c>
      <c r="J83" s="51">
        <f t="shared" si="27"/>
        <v>8091450</v>
      </c>
      <c r="K83" s="65">
        <f t="shared" si="27"/>
        <v>6882400</v>
      </c>
      <c r="L83" s="33">
        <f t="shared" si="27"/>
        <v>0</v>
      </c>
      <c r="M83" s="56">
        <f t="shared" si="27"/>
        <v>0</v>
      </c>
    </row>
    <row r="84" spans="1:16" ht="85.5" customHeight="1" x14ac:dyDescent="0.3">
      <c r="A84" s="7" t="s">
        <v>65</v>
      </c>
      <c r="B84" s="1" t="s">
        <v>14</v>
      </c>
      <c r="C84" s="1" t="s">
        <v>6</v>
      </c>
      <c r="D84" s="3">
        <f t="shared" ref="D84:D90" si="28">SUM(E84:M84)</f>
        <v>46080260</v>
      </c>
      <c r="E84" s="3">
        <v>3130970</v>
      </c>
      <c r="F84" s="3">
        <f>2525970-299000+3300000+2299000+41903</f>
        <v>7867873</v>
      </c>
      <c r="G84" s="3">
        <f>4810170+6000000+9300000</f>
        <v>20110170</v>
      </c>
      <c r="H84" s="3">
        <f>4444135-600000+234412</f>
        <v>4078547</v>
      </c>
      <c r="I84" s="3">
        <v>3071300</v>
      </c>
      <c r="J84" s="48">
        <v>4862200</v>
      </c>
      <c r="K84" s="63">
        <v>2959200</v>
      </c>
      <c r="L84" s="3">
        <v>0</v>
      </c>
      <c r="M84" s="43">
        <v>0</v>
      </c>
    </row>
    <row r="85" spans="1:16" ht="109.2" customHeight="1" x14ac:dyDescent="0.3">
      <c r="A85" s="8" t="s">
        <v>66</v>
      </c>
      <c r="B85" s="1" t="s">
        <v>49</v>
      </c>
      <c r="C85" s="1" t="s">
        <v>6</v>
      </c>
      <c r="D85" s="3">
        <f t="shared" si="28"/>
        <v>2997000</v>
      </c>
      <c r="E85" s="3">
        <v>0</v>
      </c>
      <c r="F85" s="3">
        <v>0</v>
      </c>
      <c r="G85" s="3">
        <v>0</v>
      </c>
      <c r="H85" s="3">
        <v>0</v>
      </c>
      <c r="I85" s="3">
        <v>2997000</v>
      </c>
      <c r="J85" s="48">
        <v>0</v>
      </c>
      <c r="K85" s="63">
        <v>0</v>
      </c>
      <c r="L85" s="3">
        <v>0</v>
      </c>
      <c r="M85" s="43">
        <v>0</v>
      </c>
    </row>
    <row r="86" spans="1:16" ht="228" customHeight="1" x14ac:dyDescent="0.3">
      <c r="A86" s="8" t="s">
        <v>148</v>
      </c>
      <c r="B86" s="1" t="s">
        <v>50</v>
      </c>
      <c r="C86" s="1" t="s">
        <v>6</v>
      </c>
      <c r="D86" s="3">
        <f t="shared" si="28"/>
        <v>4178500</v>
      </c>
      <c r="E86" s="3">
        <v>0</v>
      </c>
      <c r="F86" s="3">
        <v>0</v>
      </c>
      <c r="G86" s="3">
        <v>0</v>
      </c>
      <c r="H86" s="3">
        <v>0</v>
      </c>
      <c r="I86" s="3">
        <v>2089250</v>
      </c>
      <c r="J86" s="48">
        <v>2089250</v>
      </c>
      <c r="K86" s="63">
        <v>0</v>
      </c>
      <c r="L86" s="3">
        <v>0</v>
      </c>
      <c r="M86" s="43">
        <v>0</v>
      </c>
      <c r="P86" s="16"/>
    </row>
    <row r="87" spans="1:16" ht="119.25" customHeight="1" x14ac:dyDescent="0.3">
      <c r="A87" s="8" t="s">
        <v>67</v>
      </c>
      <c r="B87" s="1" t="s">
        <v>14</v>
      </c>
      <c r="C87" s="1" t="s">
        <v>6</v>
      </c>
      <c r="D87" s="3">
        <f t="shared" si="28"/>
        <v>301588</v>
      </c>
      <c r="E87" s="3">
        <v>0</v>
      </c>
      <c r="F87" s="3">
        <v>0</v>
      </c>
      <c r="G87" s="3">
        <v>0</v>
      </c>
      <c r="H87" s="3">
        <f>600000-298412</f>
        <v>301588</v>
      </c>
      <c r="I87" s="3">
        <v>0</v>
      </c>
      <c r="J87" s="48">
        <v>0</v>
      </c>
      <c r="K87" s="63">
        <v>0</v>
      </c>
      <c r="L87" s="3">
        <v>0</v>
      </c>
      <c r="M87" s="43">
        <v>0</v>
      </c>
    </row>
    <row r="88" spans="1:16" ht="119.25" customHeight="1" x14ac:dyDescent="0.3">
      <c r="A88" s="8" t="s">
        <v>68</v>
      </c>
      <c r="B88" s="1" t="s">
        <v>14</v>
      </c>
      <c r="C88" s="1" t="s">
        <v>6</v>
      </c>
      <c r="D88" s="3">
        <f t="shared" si="28"/>
        <v>95000</v>
      </c>
      <c r="E88" s="3">
        <v>95000</v>
      </c>
      <c r="F88" s="3">
        <v>0</v>
      </c>
      <c r="G88" s="3">
        <v>0</v>
      </c>
      <c r="H88" s="3">
        <v>0</v>
      </c>
      <c r="I88" s="3">
        <v>0</v>
      </c>
      <c r="J88" s="48">
        <v>0</v>
      </c>
      <c r="K88" s="63">
        <v>0</v>
      </c>
      <c r="L88" s="3">
        <v>0</v>
      </c>
      <c r="M88" s="43">
        <v>0</v>
      </c>
    </row>
    <row r="89" spans="1:16" ht="96.75" customHeight="1" x14ac:dyDescent="0.3">
      <c r="A89" s="7" t="s">
        <v>69</v>
      </c>
      <c r="B89" s="1" t="s">
        <v>14</v>
      </c>
      <c r="C89" s="1" t="s">
        <v>6</v>
      </c>
      <c r="D89" s="3">
        <f t="shared" si="28"/>
        <v>9163200</v>
      </c>
      <c r="E89" s="3">
        <v>2250000</v>
      </c>
      <c r="F89" s="3">
        <f>299000-299000</f>
        <v>0</v>
      </c>
      <c r="G89" s="3">
        <f>1500000-1500000</f>
        <v>0</v>
      </c>
      <c r="H89" s="3">
        <v>0</v>
      </c>
      <c r="I89" s="3">
        <v>1850000</v>
      </c>
      <c r="J89" s="48">
        <f>1600000-800-459200</f>
        <v>1140000</v>
      </c>
      <c r="K89" s="63">
        <f>4000000-76800</f>
        <v>3923200</v>
      </c>
      <c r="L89" s="3">
        <v>0</v>
      </c>
      <c r="M89" s="43">
        <v>0</v>
      </c>
    </row>
    <row r="90" spans="1:16" ht="96.75" customHeight="1" x14ac:dyDescent="0.3">
      <c r="A90" s="7" t="s">
        <v>70</v>
      </c>
      <c r="B90" s="1" t="s">
        <v>44</v>
      </c>
      <c r="C90" s="1" t="s">
        <v>6</v>
      </c>
      <c r="D90" s="3">
        <f t="shared" si="28"/>
        <v>6770000</v>
      </c>
      <c r="E90" s="3">
        <v>0</v>
      </c>
      <c r="F90" s="3">
        <v>0</v>
      </c>
      <c r="G90" s="3">
        <v>0</v>
      </c>
      <c r="H90" s="3">
        <f>4503600-1118600</f>
        <v>3385000</v>
      </c>
      <c r="I90" s="3">
        <v>3385000</v>
      </c>
      <c r="J90" s="48">
        <v>0</v>
      </c>
      <c r="K90" s="63">
        <v>0</v>
      </c>
      <c r="L90" s="3">
        <v>0</v>
      </c>
      <c r="M90" s="43">
        <v>0</v>
      </c>
    </row>
    <row r="91" spans="1:16" s="53" customFormat="1" ht="110.25" customHeight="1" x14ac:dyDescent="0.3">
      <c r="A91" s="100" t="s">
        <v>71</v>
      </c>
      <c r="B91" s="14" t="s">
        <v>10</v>
      </c>
      <c r="C91" s="14" t="s">
        <v>17</v>
      </c>
      <c r="D91" s="31">
        <f>D95+D99+D102+D105+D108+D109</f>
        <v>12508294.08</v>
      </c>
      <c r="E91" s="31">
        <f t="shared" ref="E91:M91" si="29">E95+E99+E102+E105+E108+E109</f>
        <v>1914038.92</v>
      </c>
      <c r="F91" s="31">
        <f t="shared" si="29"/>
        <v>1313129.8</v>
      </c>
      <c r="G91" s="31">
        <f t="shared" si="29"/>
        <v>1409509.6</v>
      </c>
      <c r="H91" s="31">
        <f t="shared" si="29"/>
        <v>1301702.3400000001</v>
      </c>
      <c r="I91" s="31">
        <f t="shared" si="29"/>
        <v>1376425.02</v>
      </c>
      <c r="J91" s="47">
        <f t="shared" si="29"/>
        <v>1293773.3999999999</v>
      </c>
      <c r="K91" s="62">
        <f t="shared" si="29"/>
        <v>1299905</v>
      </c>
      <c r="L91" s="31">
        <f t="shared" si="29"/>
        <v>1299905</v>
      </c>
      <c r="M91" s="45">
        <f t="shared" si="29"/>
        <v>1299905</v>
      </c>
    </row>
    <row r="92" spans="1:16" ht="20.100000000000001" customHeight="1" x14ac:dyDescent="0.35">
      <c r="A92" s="95"/>
      <c r="B92" s="19" t="s">
        <v>2</v>
      </c>
      <c r="C92" s="1" t="s">
        <v>6</v>
      </c>
      <c r="D92" s="46">
        <f>D96+D100+D103+D106+D108+D109</f>
        <v>9453578.2700000014</v>
      </c>
      <c r="E92" s="46">
        <f>E96+E100+E103+E106+E108</f>
        <v>1629873.92</v>
      </c>
      <c r="F92" s="46">
        <f t="shared" ref="F92:I92" si="30">F96+F100+F103+F106+F108</f>
        <v>1087434.8</v>
      </c>
      <c r="G92" s="46">
        <f t="shared" si="30"/>
        <v>1183814.6000000001</v>
      </c>
      <c r="H92" s="46">
        <f t="shared" si="30"/>
        <v>1076007.3400000001</v>
      </c>
      <c r="I92" s="46">
        <f t="shared" si="30"/>
        <v>1067187.6099999999</v>
      </c>
      <c r="J92" s="34">
        <f>J96+J100+J103+J106+J108+J109</f>
        <v>735945</v>
      </c>
      <c r="K92" s="68">
        <f t="shared" ref="K92:M92" si="31">K96+K100+K103+K106+K108+K109</f>
        <v>891105</v>
      </c>
      <c r="L92" s="34">
        <f t="shared" si="31"/>
        <v>891105</v>
      </c>
      <c r="M92" s="34">
        <f t="shared" si="31"/>
        <v>891105</v>
      </c>
    </row>
    <row r="93" spans="1:16" ht="19.5" customHeight="1" x14ac:dyDescent="0.35">
      <c r="A93" s="95"/>
      <c r="B93" s="19" t="s">
        <v>3</v>
      </c>
      <c r="C93" s="1" t="s">
        <v>6</v>
      </c>
      <c r="D93" s="46">
        <f>SUM(E93:M93)</f>
        <v>2954955.75</v>
      </c>
      <c r="E93" s="46">
        <f>E97+E101+E104+E107</f>
        <v>273095</v>
      </c>
      <c r="F93" s="46">
        <f>F97+F101+F104+F107</f>
        <v>214625</v>
      </c>
      <c r="G93" s="46">
        <f t="shared" ref="G93:M93" si="32">G97+G101+G104+G107</f>
        <v>214625</v>
      </c>
      <c r="H93" s="46">
        <f t="shared" si="32"/>
        <v>214625</v>
      </c>
      <c r="I93" s="46">
        <f t="shared" si="32"/>
        <v>301757.34999999998</v>
      </c>
      <c r="J93" s="34">
        <f t="shared" si="32"/>
        <v>545828.4</v>
      </c>
      <c r="K93" s="67">
        <f t="shared" si="32"/>
        <v>396800</v>
      </c>
      <c r="L93" s="46">
        <f t="shared" si="32"/>
        <v>396800</v>
      </c>
      <c r="M93" s="43">
        <f t="shared" si="32"/>
        <v>396800</v>
      </c>
    </row>
    <row r="94" spans="1:16" ht="20.100000000000001" customHeight="1" x14ac:dyDescent="0.3">
      <c r="A94" s="96"/>
      <c r="B94" s="1" t="s">
        <v>4</v>
      </c>
      <c r="C94" s="1" t="s">
        <v>6</v>
      </c>
      <c r="D94" s="46">
        <f>SUM(E94:M94)</f>
        <v>99760.06</v>
      </c>
      <c r="E94" s="46">
        <f>E98</f>
        <v>11070</v>
      </c>
      <c r="F94" s="46">
        <f>F98</f>
        <v>11070</v>
      </c>
      <c r="G94" s="46">
        <f t="shared" ref="G94:M94" si="33">G98</f>
        <v>11070</v>
      </c>
      <c r="H94" s="46">
        <f t="shared" si="33"/>
        <v>11070</v>
      </c>
      <c r="I94" s="46">
        <f t="shared" si="33"/>
        <v>7480.06</v>
      </c>
      <c r="J94" s="34">
        <f t="shared" si="33"/>
        <v>12000</v>
      </c>
      <c r="K94" s="67">
        <f t="shared" si="33"/>
        <v>12000</v>
      </c>
      <c r="L94" s="46">
        <f t="shared" si="33"/>
        <v>12000</v>
      </c>
      <c r="M94" s="43">
        <f t="shared" si="33"/>
        <v>12000</v>
      </c>
    </row>
    <row r="95" spans="1:16" ht="106.5" customHeight="1" x14ac:dyDescent="0.3">
      <c r="A95" s="97" t="s">
        <v>72</v>
      </c>
      <c r="B95" s="1" t="s">
        <v>10</v>
      </c>
      <c r="C95" s="1" t="s">
        <v>17</v>
      </c>
      <c r="D95" s="46">
        <f>D96+D97+D98</f>
        <v>6068168.8399999999</v>
      </c>
      <c r="E95" s="46">
        <f t="shared" ref="E95:M95" si="34">E96+E97+E98</f>
        <v>1147429.92</v>
      </c>
      <c r="F95" s="46">
        <f t="shared" si="34"/>
        <v>609770</v>
      </c>
      <c r="G95" s="46">
        <f t="shared" si="34"/>
        <v>581070</v>
      </c>
      <c r="H95" s="46">
        <f t="shared" si="34"/>
        <v>553969.60000000009</v>
      </c>
      <c r="I95" s="46">
        <f t="shared" si="34"/>
        <v>720460.92</v>
      </c>
      <c r="J95" s="34">
        <f t="shared" si="34"/>
        <v>607513.4</v>
      </c>
      <c r="K95" s="67">
        <f t="shared" si="34"/>
        <v>615985</v>
      </c>
      <c r="L95" s="46">
        <f t="shared" si="34"/>
        <v>615985</v>
      </c>
      <c r="M95" s="43">
        <f t="shared" si="34"/>
        <v>615985</v>
      </c>
    </row>
    <row r="96" spans="1:16" ht="20.25" customHeight="1" x14ac:dyDescent="0.35">
      <c r="A96" s="98"/>
      <c r="B96" s="19" t="s">
        <v>2</v>
      </c>
      <c r="C96" s="1" t="s">
        <v>6</v>
      </c>
      <c r="D96" s="46">
        <f t="shared" ref="D96:D101" si="35">SUM(E96:M96)</f>
        <v>5496077.1299999999</v>
      </c>
      <c r="E96" s="46">
        <f>344850+264000+272800+262000-103760.08</f>
        <v>1039889.92</v>
      </c>
      <c r="F96" s="46">
        <f>344850+264000+272800-320950</f>
        <v>560700</v>
      </c>
      <c r="G96" s="46">
        <f>688490.4-71350-70000-15140.4</f>
        <v>532000</v>
      </c>
      <c r="H96" s="46">
        <f>547140.4-26154.8-12200.5-4885.5</f>
        <v>503899.60000000003</v>
      </c>
      <c r="I96" s="46">
        <v>670847.61</v>
      </c>
      <c r="J96" s="34">
        <v>547185</v>
      </c>
      <c r="K96" s="67">
        <v>547185</v>
      </c>
      <c r="L96" s="46">
        <v>547185</v>
      </c>
      <c r="M96" s="43">
        <v>547185</v>
      </c>
    </row>
    <row r="97" spans="1:17" ht="20.25" customHeight="1" x14ac:dyDescent="0.35">
      <c r="A97" s="98"/>
      <c r="B97" s="19" t="s">
        <v>3</v>
      </c>
      <c r="C97" s="1" t="s">
        <v>6</v>
      </c>
      <c r="D97" s="46">
        <f t="shared" si="35"/>
        <v>472331.65</v>
      </c>
      <c r="E97" s="46">
        <v>96470</v>
      </c>
      <c r="F97" s="46">
        <f>96470-58470</f>
        <v>38000</v>
      </c>
      <c r="G97" s="46">
        <f>38000</f>
        <v>38000</v>
      </c>
      <c r="H97" s="46">
        <v>39000</v>
      </c>
      <c r="I97" s="46">
        <v>42133.25</v>
      </c>
      <c r="J97" s="34">
        <f>56800-8471.6</f>
        <v>48328.4</v>
      </c>
      <c r="K97" s="67">
        <v>56800</v>
      </c>
      <c r="L97" s="46">
        <v>56800</v>
      </c>
      <c r="M97" s="43">
        <v>56800</v>
      </c>
    </row>
    <row r="98" spans="1:17" ht="20.25" customHeight="1" x14ac:dyDescent="0.3">
      <c r="A98" s="99"/>
      <c r="B98" s="1" t="s">
        <v>4</v>
      </c>
      <c r="C98" s="1" t="s">
        <v>6</v>
      </c>
      <c r="D98" s="46">
        <f t="shared" si="35"/>
        <v>99760.06</v>
      </c>
      <c r="E98" s="46">
        <v>11070</v>
      </c>
      <c r="F98" s="46">
        <v>11070</v>
      </c>
      <c r="G98" s="46">
        <v>11070</v>
      </c>
      <c r="H98" s="46">
        <v>11070</v>
      </c>
      <c r="I98" s="46">
        <v>7480.06</v>
      </c>
      <c r="J98" s="34">
        <v>12000</v>
      </c>
      <c r="K98" s="67">
        <v>12000</v>
      </c>
      <c r="L98" s="46">
        <v>12000</v>
      </c>
      <c r="M98" s="43">
        <v>12000</v>
      </c>
    </row>
    <row r="99" spans="1:17" ht="68.400000000000006" customHeight="1" x14ac:dyDescent="0.3">
      <c r="A99" s="97" t="s">
        <v>73</v>
      </c>
      <c r="B99" s="1" t="s">
        <v>41</v>
      </c>
      <c r="C99" s="1" t="s">
        <v>17</v>
      </c>
      <c r="D99" s="46">
        <f t="shared" si="35"/>
        <v>1187539.3999999999</v>
      </c>
      <c r="E99" s="46">
        <f>E100+E101</f>
        <v>169559</v>
      </c>
      <c r="F99" s="46">
        <f>F100+F101</f>
        <v>160079.79999999999</v>
      </c>
      <c r="G99" s="46">
        <f t="shared" ref="G99:M99" si="36">G100+G101</f>
        <v>155159.6</v>
      </c>
      <c r="H99" s="46">
        <f t="shared" si="36"/>
        <v>223421</v>
      </c>
      <c r="I99" s="46">
        <f t="shared" si="36"/>
        <v>239320</v>
      </c>
      <c r="J99" s="34">
        <f t="shared" si="36"/>
        <v>90000</v>
      </c>
      <c r="K99" s="67">
        <f t="shared" si="36"/>
        <v>50000</v>
      </c>
      <c r="L99" s="46">
        <f t="shared" si="36"/>
        <v>50000</v>
      </c>
      <c r="M99" s="46">
        <f t="shared" si="36"/>
        <v>50000</v>
      </c>
    </row>
    <row r="100" spans="1:17" ht="20.25" customHeight="1" x14ac:dyDescent="0.35">
      <c r="A100" s="98"/>
      <c r="B100" s="19" t="s">
        <v>2</v>
      </c>
      <c r="C100" s="1" t="s">
        <v>6</v>
      </c>
      <c r="D100" s="46">
        <f t="shared" si="35"/>
        <v>1001039.4</v>
      </c>
      <c r="E100" s="35">
        <f>84534.6+50399.4</f>
        <v>134934</v>
      </c>
      <c r="F100" s="35">
        <f>84534.6+40920.2</f>
        <v>125454.8</v>
      </c>
      <c r="G100" s="35">
        <f>84534.6+36000</f>
        <v>120534.6</v>
      </c>
      <c r="H100" s="35">
        <f>84534.6+36000-1705.74+70000-32.86</f>
        <v>188796</v>
      </c>
      <c r="I100" s="35">
        <v>191320</v>
      </c>
      <c r="J100" s="52">
        <v>90000</v>
      </c>
      <c r="K100" s="69">
        <v>50000</v>
      </c>
      <c r="L100" s="35">
        <v>50000</v>
      </c>
      <c r="M100" s="43">
        <v>50000</v>
      </c>
    </row>
    <row r="101" spans="1:17" ht="20.25" customHeight="1" x14ac:dyDescent="0.35">
      <c r="A101" s="99"/>
      <c r="B101" s="19" t="s">
        <v>3</v>
      </c>
      <c r="C101" s="1" t="s">
        <v>6</v>
      </c>
      <c r="D101" s="46">
        <f t="shared" si="35"/>
        <v>186500</v>
      </c>
      <c r="E101" s="35">
        <v>34625</v>
      </c>
      <c r="F101" s="35">
        <v>34625</v>
      </c>
      <c r="G101" s="35">
        <v>34625</v>
      </c>
      <c r="H101" s="35">
        <v>34625</v>
      </c>
      <c r="I101" s="35">
        <v>48000</v>
      </c>
      <c r="J101" s="52">
        <v>0</v>
      </c>
      <c r="K101" s="69">
        <v>0</v>
      </c>
      <c r="L101" s="35">
        <v>0</v>
      </c>
      <c r="M101" s="43">
        <v>0</v>
      </c>
    </row>
    <row r="102" spans="1:17" ht="75.599999999999994" customHeight="1" x14ac:dyDescent="0.3">
      <c r="A102" s="97" t="s">
        <v>74</v>
      </c>
      <c r="B102" s="1" t="s">
        <v>42</v>
      </c>
      <c r="C102" s="1" t="s">
        <v>17</v>
      </c>
      <c r="D102" s="46">
        <f>D103+D104</f>
        <v>4483120.0999999996</v>
      </c>
      <c r="E102" s="46">
        <f t="shared" ref="E102:M102" si="37">E103+E104</f>
        <v>567050</v>
      </c>
      <c r="F102" s="46">
        <f t="shared" si="37"/>
        <v>513280</v>
      </c>
      <c r="G102" s="46">
        <f t="shared" si="37"/>
        <v>513280</v>
      </c>
      <c r="H102" s="46">
        <f t="shared" si="37"/>
        <v>492606</v>
      </c>
      <c r="I102" s="46">
        <f t="shared" si="37"/>
        <v>382644.1</v>
      </c>
      <c r="J102" s="46">
        <f t="shared" si="37"/>
        <v>487500</v>
      </c>
      <c r="K102" s="67">
        <f t="shared" si="37"/>
        <v>508920</v>
      </c>
      <c r="L102" s="46">
        <f t="shared" si="37"/>
        <v>508920</v>
      </c>
      <c r="M102" s="46">
        <f t="shared" si="37"/>
        <v>508920</v>
      </c>
    </row>
    <row r="103" spans="1:17" ht="20.25" customHeight="1" x14ac:dyDescent="0.35">
      <c r="A103" s="98"/>
      <c r="B103" s="19" t="s">
        <v>2</v>
      </c>
      <c r="C103" s="1" t="s">
        <v>6</v>
      </c>
      <c r="D103" s="46">
        <f>SUM(E103:M103)</f>
        <v>2260996</v>
      </c>
      <c r="E103" s="35">
        <f>377280+53770</f>
        <v>431050</v>
      </c>
      <c r="F103" s="35">
        <v>377280</v>
      </c>
      <c r="G103" s="35">
        <v>377280</v>
      </c>
      <c r="H103" s="35">
        <f>377280-17850-1824</f>
        <v>357606</v>
      </c>
      <c r="I103" s="35">
        <v>181020</v>
      </c>
      <c r="J103" s="52">
        <f>338920-160000-178920</f>
        <v>0</v>
      </c>
      <c r="K103" s="69">
        <v>178920</v>
      </c>
      <c r="L103" s="35">
        <v>178920</v>
      </c>
      <c r="M103" s="43">
        <v>178920</v>
      </c>
    </row>
    <row r="104" spans="1:17" ht="20.25" customHeight="1" x14ac:dyDescent="0.35">
      <c r="A104" s="99"/>
      <c r="B104" s="19" t="s">
        <v>3</v>
      </c>
      <c r="C104" s="1" t="s">
        <v>6</v>
      </c>
      <c r="D104" s="46">
        <f>SUM(E104:M104)</f>
        <v>2222124.1</v>
      </c>
      <c r="E104" s="35">
        <v>136000</v>
      </c>
      <c r="F104" s="35">
        <v>136000</v>
      </c>
      <c r="G104" s="35">
        <v>136000</v>
      </c>
      <c r="H104" s="35">
        <v>135000</v>
      </c>
      <c r="I104" s="35">
        <v>201624.1</v>
      </c>
      <c r="J104" s="52">
        <v>487500</v>
      </c>
      <c r="K104" s="69">
        <v>330000</v>
      </c>
      <c r="L104" s="35">
        <v>330000</v>
      </c>
      <c r="M104" s="43">
        <v>330000</v>
      </c>
    </row>
    <row r="105" spans="1:17" ht="69" customHeight="1" x14ac:dyDescent="0.3">
      <c r="A105" s="104" t="s">
        <v>75</v>
      </c>
      <c r="B105" s="1" t="s">
        <v>43</v>
      </c>
      <c r="C105" s="1" t="s">
        <v>17</v>
      </c>
      <c r="D105" s="46">
        <f>D106+D107</f>
        <v>239000</v>
      </c>
      <c r="E105" s="46">
        <f t="shared" ref="E105:M105" si="38">E106+E107</f>
        <v>30000</v>
      </c>
      <c r="F105" s="46">
        <f t="shared" si="38"/>
        <v>30000</v>
      </c>
      <c r="G105" s="46">
        <f t="shared" si="38"/>
        <v>30000</v>
      </c>
      <c r="H105" s="46">
        <f t="shared" si="38"/>
        <v>30000</v>
      </c>
      <c r="I105" s="46">
        <f t="shared" si="38"/>
        <v>34000</v>
      </c>
      <c r="J105" s="34">
        <f t="shared" si="38"/>
        <v>10000</v>
      </c>
      <c r="K105" s="67">
        <f t="shared" si="38"/>
        <v>25000</v>
      </c>
      <c r="L105" s="46">
        <f t="shared" si="38"/>
        <v>25000</v>
      </c>
      <c r="M105" s="46">
        <f t="shared" si="38"/>
        <v>25000</v>
      </c>
    </row>
    <row r="106" spans="1:17" ht="20.25" customHeight="1" x14ac:dyDescent="0.35">
      <c r="A106" s="105"/>
      <c r="B106" s="19" t="s">
        <v>2</v>
      </c>
      <c r="C106" s="1" t="s">
        <v>6</v>
      </c>
      <c r="D106" s="46">
        <f>SUM(E106:M106)</f>
        <v>165000</v>
      </c>
      <c r="E106" s="46">
        <v>24000</v>
      </c>
      <c r="F106" s="46">
        <v>24000</v>
      </c>
      <c r="G106" s="46">
        <v>24000</v>
      </c>
      <c r="H106" s="46">
        <v>24000</v>
      </c>
      <c r="I106" s="46">
        <v>24000</v>
      </c>
      <c r="J106" s="34">
        <f>15000-15000</f>
        <v>0</v>
      </c>
      <c r="K106" s="67">
        <v>15000</v>
      </c>
      <c r="L106" s="46">
        <v>15000</v>
      </c>
      <c r="M106" s="43">
        <v>15000</v>
      </c>
    </row>
    <row r="107" spans="1:17" ht="20.25" customHeight="1" x14ac:dyDescent="0.35">
      <c r="A107" s="106"/>
      <c r="B107" s="19" t="s">
        <v>3</v>
      </c>
      <c r="C107" s="1" t="s">
        <v>6</v>
      </c>
      <c r="D107" s="46">
        <f>SUM(E107:M107)</f>
        <v>74000</v>
      </c>
      <c r="E107" s="46">
        <v>6000</v>
      </c>
      <c r="F107" s="46">
        <v>6000</v>
      </c>
      <c r="G107" s="46">
        <v>6000</v>
      </c>
      <c r="H107" s="46">
        <v>6000</v>
      </c>
      <c r="I107" s="46">
        <v>10000</v>
      </c>
      <c r="J107" s="34">
        <v>10000</v>
      </c>
      <c r="K107" s="67">
        <v>10000</v>
      </c>
      <c r="L107" s="46">
        <v>10000</v>
      </c>
      <c r="M107" s="43">
        <v>10000</v>
      </c>
    </row>
    <row r="108" spans="1:17" ht="61.95" customHeight="1" x14ac:dyDescent="0.3">
      <c r="A108" s="20" t="s">
        <v>76</v>
      </c>
      <c r="B108" s="1" t="s">
        <v>9</v>
      </c>
      <c r="C108" s="1" t="s">
        <v>6</v>
      </c>
      <c r="D108" s="46">
        <f>SUM(E108:M108)</f>
        <v>131705.74</v>
      </c>
      <c r="E108" s="46">
        <v>0</v>
      </c>
      <c r="F108" s="46">
        <v>0</v>
      </c>
      <c r="G108" s="46">
        <v>130000</v>
      </c>
      <c r="H108" s="46">
        <f>1705.74</f>
        <v>1705.74</v>
      </c>
      <c r="I108" s="46">
        <v>0</v>
      </c>
      <c r="J108" s="34">
        <v>0</v>
      </c>
      <c r="K108" s="67">
        <v>0</v>
      </c>
      <c r="L108" s="46">
        <v>0</v>
      </c>
      <c r="M108" s="43">
        <v>0</v>
      </c>
    </row>
    <row r="109" spans="1:17" ht="76.2" customHeight="1" x14ac:dyDescent="0.3">
      <c r="A109" s="20" t="s">
        <v>77</v>
      </c>
      <c r="B109" s="1" t="s">
        <v>9</v>
      </c>
      <c r="C109" s="1" t="s">
        <v>6</v>
      </c>
      <c r="D109" s="46">
        <f>SUM(E109:M109)</f>
        <v>398760</v>
      </c>
      <c r="E109" s="46">
        <v>0</v>
      </c>
      <c r="F109" s="46">
        <v>0</v>
      </c>
      <c r="G109" s="46">
        <v>0</v>
      </c>
      <c r="H109" s="46">
        <v>0</v>
      </c>
      <c r="I109" s="46">
        <v>0</v>
      </c>
      <c r="J109" s="34">
        <f>100000-1240</f>
        <v>98760</v>
      </c>
      <c r="K109" s="67">
        <v>100000</v>
      </c>
      <c r="L109" s="46">
        <v>100000</v>
      </c>
      <c r="M109" s="43">
        <v>100000</v>
      </c>
    </row>
    <row r="110" spans="1:17" s="53" customFormat="1" ht="74.400000000000006" customHeight="1" x14ac:dyDescent="0.3">
      <c r="A110" s="58" t="s">
        <v>78</v>
      </c>
      <c r="B110" s="14" t="s">
        <v>9</v>
      </c>
      <c r="C110" s="14" t="s">
        <v>6</v>
      </c>
      <c r="D110" s="31">
        <f>D111+D112+D113+D114</f>
        <v>1167560721.22</v>
      </c>
      <c r="E110" s="31">
        <f t="shared" ref="E110:M110" si="39">E111+E112+E113+E114</f>
        <v>134831689.49000001</v>
      </c>
      <c r="F110" s="31">
        <f t="shared" si="39"/>
        <v>105971077.68000001</v>
      </c>
      <c r="G110" s="31">
        <f t="shared" si="39"/>
        <v>135235419.95999998</v>
      </c>
      <c r="H110" s="31">
        <f t="shared" si="39"/>
        <v>151362962.77000001</v>
      </c>
      <c r="I110" s="31">
        <f t="shared" si="39"/>
        <v>140432681.63</v>
      </c>
      <c r="J110" s="47">
        <f t="shared" si="39"/>
        <v>138041050.18000001</v>
      </c>
      <c r="K110" s="62">
        <f t="shared" si="39"/>
        <v>139514505.03</v>
      </c>
      <c r="L110" s="31">
        <f t="shared" si="39"/>
        <v>111085667.23999999</v>
      </c>
      <c r="M110" s="45">
        <f t="shared" si="39"/>
        <v>111085667.23999999</v>
      </c>
    </row>
    <row r="111" spans="1:17" ht="57.75" customHeight="1" x14ac:dyDescent="0.3">
      <c r="A111" s="21" t="s">
        <v>79</v>
      </c>
      <c r="B111" s="1" t="s">
        <v>9</v>
      </c>
      <c r="C111" s="1" t="s">
        <v>6</v>
      </c>
      <c r="D111" s="46">
        <f t="shared" ref="D111:D121" si="40">SUM(E111:M111)</f>
        <v>1072091031.9799999</v>
      </c>
      <c r="E111" s="46">
        <v>84127595.180000007</v>
      </c>
      <c r="F111" s="46">
        <f>91484403.1+7727610.7+63921-21020-500000-826410+256000+3109489.9</f>
        <v>101293994.7</v>
      </c>
      <c r="G111" s="46">
        <f>99572673.72+23171237.13+3636642.24+1917048.3</f>
        <v>128297601.38999999</v>
      </c>
      <c r="H111" s="46">
        <f>111787781.73+16467936.45+262763.55+251921.72-179294.95+18848764.69-23423.45-545964</f>
        <v>146870485.74000001</v>
      </c>
      <c r="I111" s="46">
        <f>133622516.79-145000</f>
        <v>133477516.79000001</v>
      </c>
      <c r="J111" s="34">
        <v>132279701.06999999</v>
      </c>
      <c r="K111" s="67">
        <f>133186752.63+62360+76800+306890</f>
        <v>133632802.63</v>
      </c>
      <c r="L111" s="46">
        <f>105405783.76+418798.88+229884+1200.6</f>
        <v>106055667.23999999</v>
      </c>
      <c r="M111" s="43">
        <f>122308099.64-15000000-1253633+1200.6</f>
        <v>106055667.23999999</v>
      </c>
      <c r="P111" s="16"/>
      <c r="Q111" s="16"/>
    </row>
    <row r="112" spans="1:17" ht="76.5" customHeight="1" x14ac:dyDescent="0.3">
      <c r="A112" s="21" t="s">
        <v>80</v>
      </c>
      <c r="B112" s="1" t="s">
        <v>8</v>
      </c>
      <c r="C112" s="1" t="s">
        <v>6</v>
      </c>
      <c r="D112" s="46">
        <f t="shared" si="40"/>
        <v>47555672.75</v>
      </c>
      <c r="E112" s="46">
        <v>3031329.09</v>
      </c>
      <c r="F112" s="46">
        <f>3231816.41+16000-264000-223278+856546+72404+80000-78193+70435.51+500000+382887.06</f>
        <v>4644617.9799999995</v>
      </c>
      <c r="G112" s="46">
        <f>4226210.41+1247500+967000-331568.84+800000</f>
        <v>6909141.5700000003</v>
      </c>
      <c r="H112" s="46">
        <f>4226253-15000+252256.56</f>
        <v>4463509.5599999996</v>
      </c>
      <c r="I112" s="46">
        <v>6924993.8399999999</v>
      </c>
      <c r="J112" s="34">
        <f>7459942.64-900000-828244.53</f>
        <v>5731698.1099999994</v>
      </c>
      <c r="K112" s="67">
        <f>5841642.6-62360+94500-23400</f>
        <v>5850382.5999999996</v>
      </c>
      <c r="L112" s="46">
        <v>5000000</v>
      </c>
      <c r="M112" s="43">
        <v>5000000</v>
      </c>
    </row>
    <row r="113" spans="1:13" ht="78" customHeight="1" x14ac:dyDescent="0.3">
      <c r="A113" s="6" t="s">
        <v>81</v>
      </c>
      <c r="B113" s="1" t="s">
        <v>26</v>
      </c>
      <c r="C113" s="1" t="s">
        <v>6</v>
      </c>
      <c r="D113" s="46">
        <f t="shared" si="40"/>
        <v>277378.27</v>
      </c>
      <c r="E113" s="46">
        <f>40097-3970</f>
        <v>36127</v>
      </c>
      <c r="F113" s="46">
        <f>40097-3970-3662</f>
        <v>32465</v>
      </c>
      <c r="G113" s="46">
        <f>33666-4989</f>
        <v>28677</v>
      </c>
      <c r="H113" s="46">
        <v>28967.47</v>
      </c>
      <c r="I113" s="46">
        <v>30171</v>
      </c>
      <c r="J113" s="34">
        <f>30000-200-149</f>
        <v>29651</v>
      </c>
      <c r="K113" s="67">
        <f>31200.6+119.2</f>
        <v>31319.8</v>
      </c>
      <c r="L113" s="46">
        <f>31200.6-1200.6</f>
        <v>30000</v>
      </c>
      <c r="M113" s="43">
        <f>31200.6-1200.6</f>
        <v>30000</v>
      </c>
    </row>
    <row r="114" spans="1:13" ht="66.75" customHeight="1" x14ac:dyDescent="0.3">
      <c r="A114" s="6" t="s">
        <v>82</v>
      </c>
      <c r="B114" s="1" t="s">
        <v>11</v>
      </c>
      <c r="C114" s="1" t="s">
        <v>6</v>
      </c>
      <c r="D114" s="46">
        <f t="shared" si="40"/>
        <v>47636638.219999999</v>
      </c>
      <c r="E114" s="46">
        <v>47636638.219999999</v>
      </c>
      <c r="F114" s="46">
        <v>0</v>
      </c>
      <c r="G114" s="46">
        <v>0</v>
      </c>
      <c r="H114" s="46">
        <v>0</v>
      </c>
      <c r="I114" s="46">
        <v>0</v>
      </c>
      <c r="J114" s="34">
        <v>0</v>
      </c>
      <c r="K114" s="67">
        <v>0</v>
      </c>
      <c r="L114" s="46">
        <v>0</v>
      </c>
      <c r="M114" s="43">
        <v>0</v>
      </c>
    </row>
    <row r="115" spans="1:13" ht="57.75" customHeight="1" x14ac:dyDescent="0.3">
      <c r="A115" s="21" t="s">
        <v>83</v>
      </c>
      <c r="B115" s="1" t="s">
        <v>9</v>
      </c>
      <c r="C115" s="1" t="s">
        <v>6</v>
      </c>
      <c r="D115" s="46">
        <f t="shared" si="40"/>
        <v>17564077.43</v>
      </c>
      <c r="E115" s="46">
        <f>1000000-750000</f>
        <v>250000</v>
      </c>
      <c r="F115" s="46">
        <f>1000000-750000+328247.67+64800</f>
        <v>643047.66999999993</v>
      </c>
      <c r="G115" s="46">
        <f>450000+200000+200000</f>
        <v>850000</v>
      </c>
      <c r="H115" s="46">
        <f>11430215.39+90814.37+300000</f>
        <v>11821029.76</v>
      </c>
      <c r="I115" s="46">
        <v>1000000</v>
      </c>
      <c r="J115" s="34">
        <f>1000000-1000000</f>
        <v>0</v>
      </c>
      <c r="K115" s="67">
        <v>1000000</v>
      </c>
      <c r="L115" s="46">
        <v>1000000</v>
      </c>
      <c r="M115" s="43">
        <v>1000000</v>
      </c>
    </row>
    <row r="116" spans="1:13" ht="102" customHeight="1" x14ac:dyDescent="0.3">
      <c r="A116" s="21" t="s">
        <v>84</v>
      </c>
      <c r="B116" s="1" t="s">
        <v>9</v>
      </c>
      <c r="C116" s="1" t="s">
        <v>6</v>
      </c>
      <c r="D116" s="46">
        <f t="shared" si="40"/>
        <v>916400</v>
      </c>
      <c r="E116" s="46">
        <v>41400</v>
      </c>
      <c r="F116" s="46">
        <f>200000-200000</f>
        <v>0</v>
      </c>
      <c r="G116" s="46">
        <f>200000-200000</f>
        <v>0</v>
      </c>
      <c r="H116" s="46">
        <f>200000-200000</f>
        <v>0</v>
      </c>
      <c r="I116" s="46">
        <v>200000</v>
      </c>
      <c r="J116" s="34">
        <v>75000</v>
      </c>
      <c r="K116" s="67">
        <v>200000</v>
      </c>
      <c r="L116" s="46">
        <v>200000</v>
      </c>
      <c r="M116" s="43">
        <v>200000</v>
      </c>
    </row>
    <row r="117" spans="1:13" ht="61.5" customHeight="1" x14ac:dyDescent="0.3">
      <c r="A117" s="21" t="s">
        <v>85</v>
      </c>
      <c r="B117" s="1" t="s">
        <v>23</v>
      </c>
      <c r="C117" s="1" t="s">
        <v>6</v>
      </c>
      <c r="D117" s="46">
        <f t="shared" si="40"/>
        <v>2884107.6</v>
      </c>
      <c r="E117" s="46">
        <v>400000</v>
      </c>
      <c r="F117" s="46">
        <f>400000-388864</f>
        <v>11136</v>
      </c>
      <c r="G117" s="46">
        <v>400000</v>
      </c>
      <c r="H117" s="46">
        <v>0</v>
      </c>
      <c r="I117" s="46">
        <v>400000</v>
      </c>
      <c r="J117" s="34">
        <v>472971.6</v>
      </c>
      <c r="K117" s="67">
        <v>400000</v>
      </c>
      <c r="L117" s="46">
        <v>400000</v>
      </c>
      <c r="M117" s="43">
        <v>400000</v>
      </c>
    </row>
    <row r="118" spans="1:13" ht="135" customHeight="1" x14ac:dyDescent="0.3">
      <c r="A118" s="21" t="s">
        <v>86</v>
      </c>
      <c r="B118" s="1" t="s">
        <v>26</v>
      </c>
      <c r="C118" s="1" t="s">
        <v>6</v>
      </c>
      <c r="D118" s="46">
        <f t="shared" si="40"/>
        <v>1461178.17</v>
      </c>
      <c r="E118" s="46">
        <v>500000</v>
      </c>
      <c r="F118" s="46">
        <f>500000+500000-38821.83</f>
        <v>961178.17</v>
      </c>
      <c r="G118" s="46">
        <v>0</v>
      </c>
      <c r="H118" s="46">
        <v>0</v>
      </c>
      <c r="I118" s="46">
        <v>0</v>
      </c>
      <c r="J118" s="34">
        <v>0</v>
      </c>
      <c r="K118" s="67">
        <v>0</v>
      </c>
      <c r="L118" s="46">
        <v>0</v>
      </c>
      <c r="M118" s="43">
        <v>0</v>
      </c>
    </row>
    <row r="119" spans="1:13" ht="96.75" customHeight="1" x14ac:dyDescent="0.3">
      <c r="A119" s="21" t="s">
        <v>87</v>
      </c>
      <c r="B119" s="1" t="s">
        <v>26</v>
      </c>
      <c r="C119" s="1" t="s">
        <v>6</v>
      </c>
      <c r="D119" s="46">
        <f t="shared" si="40"/>
        <v>0</v>
      </c>
      <c r="E119" s="46">
        <v>0</v>
      </c>
      <c r="F119" s="46">
        <v>0</v>
      </c>
      <c r="G119" s="46">
        <f>1000000-893457.15-106542.85</f>
        <v>0</v>
      </c>
      <c r="H119" s="46">
        <f>291867.39-200000-46471.97-45395.42</f>
        <v>0</v>
      </c>
      <c r="I119" s="46">
        <v>0</v>
      </c>
      <c r="J119" s="34">
        <v>0</v>
      </c>
      <c r="K119" s="67">
        <v>0</v>
      </c>
      <c r="L119" s="46">
        <v>0</v>
      </c>
      <c r="M119" s="43">
        <v>0</v>
      </c>
    </row>
    <row r="120" spans="1:13" ht="63" customHeight="1" x14ac:dyDescent="0.3">
      <c r="A120" s="20" t="s">
        <v>35</v>
      </c>
      <c r="B120" s="40" t="s">
        <v>33</v>
      </c>
      <c r="C120" s="40" t="s">
        <v>6</v>
      </c>
      <c r="D120" s="46">
        <f t="shared" si="40"/>
        <v>155211068.85999998</v>
      </c>
      <c r="E120" s="46">
        <v>0</v>
      </c>
      <c r="F120" s="46">
        <f>14783926.1-257109.98+212100</f>
        <v>14738916.119999999</v>
      </c>
      <c r="G120" s="46">
        <f>14634937.12+2072456.59</f>
        <v>16707393.709999999</v>
      </c>
      <c r="H120" s="46">
        <f>1037186.46+12917187.64+3000000+83943.2+14527.5</f>
        <v>17052844.800000001</v>
      </c>
      <c r="I120" s="46">
        <v>21123612.34</v>
      </c>
      <c r="J120" s="34">
        <f>21860209.27-12404.09-183208.99</f>
        <v>21664596.190000001</v>
      </c>
      <c r="K120" s="67">
        <f>22522087.08+800000</f>
        <v>23322087.079999998</v>
      </c>
      <c r="L120" s="46">
        <v>20300809.309999999</v>
      </c>
      <c r="M120" s="43">
        <v>20300809.309999999</v>
      </c>
    </row>
    <row r="121" spans="1:13" ht="66.75" customHeight="1" x14ac:dyDescent="0.3">
      <c r="A121" s="21" t="s">
        <v>34</v>
      </c>
      <c r="B121" s="1" t="s">
        <v>11</v>
      </c>
      <c r="C121" s="1" t="s">
        <v>6</v>
      </c>
      <c r="D121" s="46">
        <f t="shared" si="40"/>
        <v>529785816.10000002</v>
      </c>
      <c r="E121" s="46">
        <v>0</v>
      </c>
      <c r="F121" s="46">
        <f>48986954.7+80850+4995-300000</f>
        <v>48772799.700000003</v>
      </c>
      <c r="G121" s="46">
        <f>50088504.84+368984.35+248277.97</f>
        <v>50705767.160000004</v>
      </c>
      <c r="H121" s="46">
        <f>4898054.83+45538092.4+9000000+1509183.43</f>
        <v>60945330.659999996</v>
      </c>
      <c r="I121" s="46">
        <v>68956609.599999994</v>
      </c>
      <c r="J121" s="34">
        <f>75573044.26-819579.89</f>
        <v>74753464.370000005</v>
      </c>
      <c r="K121" s="67">
        <f>87451844.61+200000</f>
        <v>87651844.609999999</v>
      </c>
      <c r="L121" s="46">
        <v>69000000</v>
      </c>
      <c r="M121" s="43">
        <v>69000000</v>
      </c>
    </row>
    <row r="122" spans="1:13" ht="38.85" customHeight="1" x14ac:dyDescent="0.3">
      <c r="A122" s="104" t="s">
        <v>36</v>
      </c>
      <c r="B122" s="78" t="s">
        <v>9</v>
      </c>
      <c r="C122" s="1" t="s">
        <v>17</v>
      </c>
      <c r="D122" s="46">
        <f>D123+D124</f>
        <v>32967034</v>
      </c>
      <c r="E122" s="46">
        <f t="shared" ref="E122:M122" si="41">E123+E124</f>
        <v>0</v>
      </c>
      <c r="F122" s="46">
        <f t="shared" si="41"/>
        <v>0</v>
      </c>
      <c r="G122" s="46">
        <f t="shared" si="41"/>
        <v>0</v>
      </c>
      <c r="H122" s="46">
        <f t="shared" si="41"/>
        <v>0</v>
      </c>
      <c r="I122" s="46">
        <f t="shared" si="41"/>
        <v>0</v>
      </c>
      <c r="J122" s="34">
        <f t="shared" si="41"/>
        <v>0</v>
      </c>
      <c r="K122" s="67">
        <f t="shared" si="41"/>
        <v>0</v>
      </c>
      <c r="L122" s="46">
        <f t="shared" si="41"/>
        <v>16483517</v>
      </c>
      <c r="M122" s="43">
        <f t="shared" si="41"/>
        <v>16483517</v>
      </c>
    </row>
    <row r="123" spans="1:13" ht="38.85" customHeight="1" x14ac:dyDescent="0.3">
      <c r="A123" s="105"/>
      <c r="B123" s="79"/>
      <c r="C123" s="40" t="s">
        <v>6</v>
      </c>
      <c r="D123" s="46">
        <f>SUM(E123:M123)</f>
        <v>2967034</v>
      </c>
      <c r="E123" s="46">
        <v>0</v>
      </c>
      <c r="F123" s="46">
        <v>0</v>
      </c>
      <c r="G123" s="46">
        <v>0</v>
      </c>
      <c r="H123" s="46">
        <v>0</v>
      </c>
      <c r="I123" s="46">
        <v>0</v>
      </c>
      <c r="J123" s="34">
        <f>1853933-1853933</f>
        <v>0</v>
      </c>
      <c r="K123" s="67">
        <v>0</v>
      </c>
      <c r="L123" s="46">
        <v>1483517</v>
      </c>
      <c r="M123" s="43">
        <v>1483517</v>
      </c>
    </row>
    <row r="124" spans="1:13" ht="38.85" customHeight="1" x14ac:dyDescent="0.3">
      <c r="A124" s="106"/>
      <c r="B124" s="80"/>
      <c r="C124" s="40" t="s">
        <v>27</v>
      </c>
      <c r="D124" s="46">
        <f>SUM(E124:M124)</f>
        <v>30000000</v>
      </c>
      <c r="E124" s="46">
        <v>0</v>
      </c>
      <c r="F124" s="46">
        <v>0</v>
      </c>
      <c r="G124" s="46">
        <v>0</v>
      </c>
      <c r="H124" s="46">
        <v>0</v>
      </c>
      <c r="I124" s="46">
        <v>0</v>
      </c>
      <c r="J124" s="34">
        <f>15000000-15000000</f>
        <v>0</v>
      </c>
      <c r="K124" s="67">
        <v>0</v>
      </c>
      <c r="L124" s="46">
        <v>15000000</v>
      </c>
      <c r="M124" s="43">
        <v>15000000</v>
      </c>
    </row>
    <row r="125" spans="1:13" ht="58.5" customHeight="1" x14ac:dyDescent="0.3">
      <c r="A125" s="20" t="s">
        <v>88</v>
      </c>
      <c r="B125" s="40" t="s">
        <v>23</v>
      </c>
      <c r="C125" s="40" t="s">
        <v>6</v>
      </c>
      <c r="D125" s="46">
        <f>SUM(E125:M125)</f>
        <v>36000</v>
      </c>
      <c r="E125" s="46">
        <v>0</v>
      </c>
      <c r="F125" s="46">
        <v>36000</v>
      </c>
      <c r="G125" s="46">
        <v>0</v>
      </c>
      <c r="H125" s="46">
        <v>0</v>
      </c>
      <c r="I125" s="46">
        <v>0</v>
      </c>
      <c r="J125" s="34">
        <v>0</v>
      </c>
      <c r="K125" s="67">
        <v>0</v>
      </c>
      <c r="L125" s="46">
        <v>0</v>
      </c>
      <c r="M125" s="43">
        <v>0</v>
      </c>
    </row>
    <row r="126" spans="1:13" ht="116.25" customHeight="1" x14ac:dyDescent="0.3">
      <c r="A126" s="21" t="s">
        <v>89</v>
      </c>
      <c r="B126" s="1" t="s">
        <v>26</v>
      </c>
      <c r="C126" s="1" t="s">
        <v>6</v>
      </c>
      <c r="D126" s="46">
        <f>SUM(E126:M126)</f>
        <v>2000000</v>
      </c>
      <c r="E126" s="46">
        <v>0</v>
      </c>
      <c r="F126" s="46">
        <v>2000000</v>
      </c>
      <c r="G126" s="46">
        <v>0</v>
      </c>
      <c r="H126" s="46">
        <v>0</v>
      </c>
      <c r="I126" s="46">
        <v>0</v>
      </c>
      <c r="J126" s="34">
        <v>0</v>
      </c>
      <c r="K126" s="67">
        <v>0</v>
      </c>
      <c r="L126" s="46">
        <v>0</v>
      </c>
      <c r="M126" s="43">
        <v>0</v>
      </c>
    </row>
    <row r="127" spans="1:13" ht="60" customHeight="1" x14ac:dyDescent="0.3">
      <c r="A127" s="104" t="s">
        <v>90</v>
      </c>
      <c r="B127" s="78" t="s">
        <v>9</v>
      </c>
      <c r="C127" s="40" t="s">
        <v>17</v>
      </c>
      <c r="D127" s="46">
        <f>D128+D129</f>
        <v>7347391.6299999999</v>
      </c>
      <c r="E127" s="46">
        <f t="shared" ref="E127:M127" si="42">E128+E129</f>
        <v>0</v>
      </c>
      <c r="F127" s="46">
        <f t="shared" si="42"/>
        <v>7347391.6299999999</v>
      </c>
      <c r="G127" s="46">
        <f t="shared" si="42"/>
        <v>0</v>
      </c>
      <c r="H127" s="46">
        <f t="shared" si="42"/>
        <v>0</v>
      </c>
      <c r="I127" s="46">
        <f t="shared" si="42"/>
        <v>0</v>
      </c>
      <c r="J127" s="34">
        <f t="shared" si="42"/>
        <v>0</v>
      </c>
      <c r="K127" s="67">
        <f t="shared" si="42"/>
        <v>0</v>
      </c>
      <c r="L127" s="46">
        <f t="shared" si="42"/>
        <v>0</v>
      </c>
      <c r="M127" s="43">
        <f t="shared" si="42"/>
        <v>0</v>
      </c>
    </row>
    <row r="128" spans="1:13" ht="60" customHeight="1" x14ac:dyDescent="0.3">
      <c r="A128" s="105"/>
      <c r="B128" s="79"/>
      <c r="C128" s="40" t="s">
        <v>6</v>
      </c>
      <c r="D128" s="46">
        <f>SUM(E128:M128)</f>
        <v>525362.32999999996</v>
      </c>
      <c r="E128" s="46">
        <v>0</v>
      </c>
      <c r="F128" s="46">
        <f>300000+225362.33</f>
        <v>525362.32999999996</v>
      </c>
      <c r="G128" s="46">
        <v>0</v>
      </c>
      <c r="H128" s="46">
        <v>0</v>
      </c>
      <c r="I128" s="46">
        <v>0</v>
      </c>
      <c r="J128" s="34">
        <v>0</v>
      </c>
      <c r="K128" s="67">
        <v>0</v>
      </c>
      <c r="L128" s="46">
        <v>0</v>
      </c>
      <c r="M128" s="43">
        <v>0</v>
      </c>
    </row>
    <row r="129" spans="1:494" ht="51" customHeight="1" x14ac:dyDescent="0.3">
      <c r="A129" s="106"/>
      <c r="B129" s="80"/>
      <c r="C129" s="40" t="s">
        <v>27</v>
      </c>
      <c r="D129" s="46">
        <f>SUM(E129:M129)</f>
        <v>6822029.2999999998</v>
      </c>
      <c r="E129" s="46">
        <v>0</v>
      </c>
      <c r="F129" s="46">
        <v>6822029.2999999998</v>
      </c>
      <c r="G129" s="46">
        <v>0</v>
      </c>
      <c r="H129" s="46">
        <v>0</v>
      </c>
      <c r="I129" s="46">
        <v>0</v>
      </c>
      <c r="J129" s="34">
        <v>0</v>
      </c>
      <c r="K129" s="67">
        <v>0</v>
      </c>
      <c r="L129" s="46">
        <v>0</v>
      </c>
      <c r="M129" s="43">
        <v>0</v>
      </c>
    </row>
    <row r="130" spans="1:494" ht="409.6" customHeight="1" x14ac:dyDescent="0.3">
      <c r="A130" s="101" t="s">
        <v>91</v>
      </c>
      <c r="B130" s="112" t="s">
        <v>59</v>
      </c>
      <c r="C130" s="112" t="s">
        <v>17</v>
      </c>
      <c r="D130" s="89">
        <f>D132+D133+D134+D135+D136+D137+D138+D139+D140</f>
        <v>9495200</v>
      </c>
      <c r="E130" s="89">
        <f t="shared" ref="E130:L130" si="43">E132+E133+E134+E135+E136+E137+E138+E139+E140</f>
        <v>0</v>
      </c>
      <c r="F130" s="89">
        <f t="shared" si="43"/>
        <v>0</v>
      </c>
      <c r="G130" s="89">
        <f t="shared" si="43"/>
        <v>4237300</v>
      </c>
      <c r="H130" s="89">
        <f t="shared" si="43"/>
        <v>0</v>
      </c>
      <c r="I130" s="89">
        <f t="shared" si="43"/>
        <v>5257900</v>
      </c>
      <c r="J130" s="91">
        <f t="shared" si="43"/>
        <v>0</v>
      </c>
      <c r="K130" s="93">
        <f t="shared" si="43"/>
        <v>0</v>
      </c>
      <c r="L130" s="94">
        <f t="shared" si="43"/>
        <v>0</v>
      </c>
      <c r="M130" s="77">
        <f t="shared" ref="M130" si="44">M132+M133+M134+M135+M136+M137+M138+M139+M140</f>
        <v>0</v>
      </c>
    </row>
    <row r="131" spans="1:494" ht="124.95" customHeight="1" x14ac:dyDescent="0.3">
      <c r="A131" s="102"/>
      <c r="B131" s="113"/>
      <c r="C131" s="113"/>
      <c r="D131" s="90"/>
      <c r="E131" s="90"/>
      <c r="F131" s="90"/>
      <c r="G131" s="90"/>
      <c r="H131" s="90"/>
      <c r="I131" s="90"/>
      <c r="J131" s="92"/>
      <c r="K131" s="93"/>
      <c r="L131" s="94"/>
      <c r="M131" s="77"/>
    </row>
    <row r="132" spans="1:494" ht="42.75" customHeight="1" x14ac:dyDescent="0.3">
      <c r="A132" s="102"/>
      <c r="B132" s="2" t="s">
        <v>9</v>
      </c>
      <c r="C132" s="2" t="s">
        <v>27</v>
      </c>
      <c r="D132" s="46">
        <f t="shared" ref="D132:D149" si="45">SUM(E132:M132)</f>
        <v>5178168.42</v>
      </c>
      <c r="E132" s="46">
        <v>0</v>
      </c>
      <c r="F132" s="46">
        <v>0</v>
      </c>
      <c r="G132" s="46">
        <v>3069154.04</v>
      </c>
      <c r="H132" s="46">
        <v>0</v>
      </c>
      <c r="I132" s="46">
        <v>2109014.38</v>
      </c>
      <c r="J132" s="34">
        <v>0</v>
      </c>
      <c r="K132" s="67">
        <v>0</v>
      </c>
      <c r="L132" s="46">
        <v>0</v>
      </c>
      <c r="M132" s="43">
        <v>0</v>
      </c>
    </row>
    <row r="133" spans="1:494" ht="79.95" customHeight="1" x14ac:dyDescent="0.3">
      <c r="A133" s="102"/>
      <c r="B133" s="2" t="s">
        <v>58</v>
      </c>
      <c r="C133" s="2" t="s">
        <v>27</v>
      </c>
      <c r="D133" s="46">
        <f t="shared" si="45"/>
        <v>680053.95</v>
      </c>
      <c r="E133" s="46">
        <v>0</v>
      </c>
      <c r="F133" s="46">
        <v>0</v>
      </c>
      <c r="G133" s="46">
        <v>585315.48</v>
      </c>
      <c r="H133" s="46">
        <v>0</v>
      </c>
      <c r="I133" s="46">
        <v>94738.47</v>
      </c>
      <c r="J133" s="34">
        <v>0</v>
      </c>
      <c r="K133" s="67">
        <v>0</v>
      </c>
      <c r="L133" s="46">
        <v>0</v>
      </c>
      <c r="M133" s="43">
        <v>0</v>
      </c>
    </row>
    <row r="134" spans="1:494" ht="99" customHeight="1" x14ac:dyDescent="0.3">
      <c r="A134" s="102"/>
      <c r="B134" s="2" t="s">
        <v>29</v>
      </c>
      <c r="C134" s="2" t="s">
        <v>27</v>
      </c>
      <c r="D134" s="46">
        <f t="shared" si="45"/>
        <v>677568.95</v>
      </c>
      <c r="E134" s="46">
        <v>0</v>
      </c>
      <c r="F134" s="46">
        <v>0</v>
      </c>
      <c r="G134" s="46">
        <v>582830.48</v>
      </c>
      <c r="H134" s="46">
        <v>0</v>
      </c>
      <c r="I134" s="46">
        <v>94738.47</v>
      </c>
      <c r="J134" s="34">
        <v>0</v>
      </c>
      <c r="K134" s="67">
        <v>0</v>
      </c>
      <c r="L134" s="46">
        <v>0</v>
      </c>
      <c r="M134" s="43">
        <v>0</v>
      </c>
    </row>
    <row r="135" spans="1:494" ht="99" customHeight="1" x14ac:dyDescent="0.3">
      <c r="A135" s="102"/>
      <c r="B135" s="2" t="s">
        <v>40</v>
      </c>
      <c r="C135" s="2" t="s">
        <v>27</v>
      </c>
      <c r="D135" s="46">
        <f t="shared" si="45"/>
        <v>814846.39</v>
      </c>
      <c r="E135" s="46">
        <v>0</v>
      </c>
      <c r="F135" s="46">
        <v>0</v>
      </c>
      <c r="G135" s="46">
        <v>0</v>
      </c>
      <c r="H135" s="46">
        <v>0</v>
      </c>
      <c r="I135" s="46">
        <v>814846.39</v>
      </c>
      <c r="J135" s="34">
        <v>0</v>
      </c>
      <c r="K135" s="67">
        <v>0</v>
      </c>
      <c r="L135" s="46">
        <v>0</v>
      </c>
      <c r="M135" s="43">
        <v>0</v>
      </c>
    </row>
    <row r="136" spans="1:494" ht="63.75" customHeight="1" x14ac:dyDescent="0.3">
      <c r="A136" s="102"/>
      <c r="B136" s="2" t="s">
        <v>39</v>
      </c>
      <c r="C136" s="2" t="s">
        <v>27</v>
      </c>
      <c r="D136" s="46">
        <f t="shared" si="45"/>
        <v>623117.82999999996</v>
      </c>
      <c r="E136" s="46">
        <v>0</v>
      </c>
      <c r="F136" s="46">
        <v>0</v>
      </c>
      <c r="G136" s="46">
        <v>0</v>
      </c>
      <c r="H136" s="46">
        <v>0</v>
      </c>
      <c r="I136" s="46">
        <v>623117.82999999996</v>
      </c>
      <c r="J136" s="34">
        <v>0</v>
      </c>
      <c r="K136" s="67">
        <v>0</v>
      </c>
      <c r="L136" s="46">
        <v>0</v>
      </c>
      <c r="M136" s="43">
        <v>0</v>
      </c>
    </row>
    <row r="137" spans="1:494" ht="74.25" customHeight="1" x14ac:dyDescent="0.3">
      <c r="A137" s="102"/>
      <c r="B137" s="2" t="s">
        <v>54</v>
      </c>
      <c r="C137" s="2" t="s">
        <v>27</v>
      </c>
      <c r="D137" s="46">
        <f t="shared" si="45"/>
        <v>479321.4</v>
      </c>
      <c r="E137" s="46">
        <v>0</v>
      </c>
      <c r="F137" s="46">
        <v>0</v>
      </c>
      <c r="G137" s="46">
        <v>0</v>
      </c>
      <c r="H137" s="46">
        <v>0</v>
      </c>
      <c r="I137" s="46">
        <v>479321.4</v>
      </c>
      <c r="J137" s="34">
        <v>0</v>
      </c>
      <c r="K137" s="67">
        <v>0</v>
      </c>
      <c r="L137" s="46">
        <v>0</v>
      </c>
      <c r="M137" s="43">
        <v>0</v>
      </c>
    </row>
    <row r="138" spans="1:494" ht="111" customHeight="1" x14ac:dyDescent="0.3">
      <c r="A138" s="102"/>
      <c r="B138" s="2" t="s">
        <v>55</v>
      </c>
      <c r="C138" s="2" t="s">
        <v>27</v>
      </c>
      <c r="D138" s="46">
        <f t="shared" si="45"/>
        <v>94738.47</v>
      </c>
      <c r="E138" s="46">
        <v>0</v>
      </c>
      <c r="F138" s="46">
        <v>0</v>
      </c>
      <c r="G138" s="46">
        <v>0</v>
      </c>
      <c r="H138" s="46">
        <v>0</v>
      </c>
      <c r="I138" s="46">
        <v>94738.47</v>
      </c>
      <c r="J138" s="34">
        <v>0</v>
      </c>
      <c r="K138" s="67">
        <v>0</v>
      </c>
      <c r="L138" s="46">
        <v>0</v>
      </c>
      <c r="M138" s="43">
        <v>0</v>
      </c>
    </row>
    <row r="139" spans="1:494" ht="111" customHeight="1" x14ac:dyDescent="0.3">
      <c r="A139" s="102"/>
      <c r="B139" s="2" t="s">
        <v>56</v>
      </c>
      <c r="C139" s="2" t="s">
        <v>27</v>
      </c>
      <c r="D139" s="46">
        <f t="shared" si="45"/>
        <v>805276.89</v>
      </c>
      <c r="E139" s="46">
        <v>0</v>
      </c>
      <c r="F139" s="46">
        <v>0</v>
      </c>
      <c r="G139" s="46">
        <v>0</v>
      </c>
      <c r="H139" s="46">
        <v>0</v>
      </c>
      <c r="I139" s="46">
        <v>805276.89</v>
      </c>
      <c r="J139" s="34">
        <v>0</v>
      </c>
      <c r="K139" s="67">
        <v>0</v>
      </c>
      <c r="L139" s="46">
        <v>0</v>
      </c>
      <c r="M139" s="43">
        <v>0</v>
      </c>
    </row>
    <row r="140" spans="1:494" ht="111" customHeight="1" x14ac:dyDescent="0.3">
      <c r="A140" s="103"/>
      <c r="B140" s="2" t="s">
        <v>57</v>
      </c>
      <c r="C140" s="2" t="s">
        <v>27</v>
      </c>
      <c r="D140" s="46">
        <f t="shared" si="45"/>
        <v>142107.70000000001</v>
      </c>
      <c r="E140" s="46">
        <v>0</v>
      </c>
      <c r="F140" s="46">
        <v>0</v>
      </c>
      <c r="G140" s="46">
        <v>0</v>
      </c>
      <c r="H140" s="46">
        <v>0</v>
      </c>
      <c r="I140" s="46">
        <v>142107.70000000001</v>
      </c>
      <c r="J140" s="34">
        <v>0</v>
      </c>
      <c r="K140" s="67">
        <v>0</v>
      </c>
      <c r="L140" s="46">
        <v>0</v>
      </c>
      <c r="M140" s="43">
        <v>0</v>
      </c>
    </row>
    <row r="141" spans="1:494" ht="98.25" customHeight="1" x14ac:dyDescent="0.3">
      <c r="A141" s="22" t="s">
        <v>45</v>
      </c>
      <c r="B141" s="2" t="s">
        <v>44</v>
      </c>
      <c r="C141" s="23" t="s">
        <v>6</v>
      </c>
      <c r="D141" s="46">
        <f t="shared" si="45"/>
        <v>31651049.579999998</v>
      </c>
      <c r="E141" s="46">
        <v>0</v>
      </c>
      <c r="F141" s="46">
        <v>0</v>
      </c>
      <c r="G141" s="46">
        <v>0</v>
      </c>
      <c r="H141" s="46">
        <v>3342102.06</v>
      </c>
      <c r="I141" s="46">
        <v>7923299.8700000001</v>
      </c>
      <c r="J141" s="34">
        <f>9185647.65+2000000</f>
        <v>11185647.65</v>
      </c>
      <c r="K141" s="67">
        <v>9200000</v>
      </c>
      <c r="L141" s="46">
        <v>0</v>
      </c>
      <c r="M141" s="43">
        <v>0</v>
      </c>
      <c r="N141" s="24"/>
      <c r="O141" s="24"/>
      <c r="P141" s="24"/>
      <c r="Q141" s="24"/>
      <c r="R141" s="24"/>
      <c r="S141" s="24"/>
      <c r="T141" s="25"/>
      <c r="U141" s="25"/>
      <c r="V141" s="25"/>
      <c r="W141" s="25"/>
      <c r="X141" s="25"/>
      <c r="Y141" s="25"/>
      <c r="Z141" s="24"/>
      <c r="AA141" s="24"/>
      <c r="AB141" s="24"/>
      <c r="AC141" s="24"/>
      <c r="AD141" s="24"/>
      <c r="AE141" s="24"/>
      <c r="AF141" s="24"/>
      <c r="AG141" s="24"/>
      <c r="AH141" s="25"/>
      <c r="AI141" s="25"/>
      <c r="AJ141" s="25"/>
      <c r="AK141" s="25"/>
      <c r="AL141" s="25"/>
      <c r="AM141" s="25"/>
      <c r="AN141" s="24"/>
      <c r="AO141" s="24"/>
      <c r="AP141" s="24"/>
      <c r="AQ141" s="24"/>
      <c r="AR141" s="24"/>
      <c r="AS141" s="24"/>
      <c r="AT141" s="24"/>
      <c r="AU141" s="24"/>
      <c r="AV141" s="25"/>
      <c r="AW141" s="25"/>
      <c r="AX141" s="25"/>
      <c r="AY141" s="25"/>
      <c r="AZ141" s="25"/>
      <c r="BA141" s="25"/>
      <c r="BB141" s="24"/>
      <c r="BC141" s="24"/>
      <c r="BD141" s="24"/>
      <c r="BE141" s="24"/>
      <c r="BF141" s="24"/>
      <c r="BG141" s="24"/>
      <c r="BH141" s="24"/>
      <c r="BI141" s="24"/>
      <c r="BJ141" s="25"/>
      <c r="BK141" s="25"/>
      <c r="BL141" s="25"/>
      <c r="BM141" s="25"/>
      <c r="BN141" s="25"/>
      <c r="BO141" s="25"/>
      <c r="BP141" s="24"/>
      <c r="BQ141" s="24"/>
      <c r="BR141" s="24"/>
      <c r="BS141" s="24"/>
      <c r="BT141" s="24"/>
      <c r="BU141" s="24"/>
      <c r="BV141" s="24"/>
      <c r="BW141" s="24"/>
      <c r="BX141" s="25"/>
      <c r="BY141" s="25"/>
      <c r="BZ141" s="25"/>
      <c r="CA141" s="25"/>
      <c r="CB141" s="25"/>
      <c r="CC141" s="25"/>
      <c r="CD141" s="24"/>
      <c r="CE141" s="24"/>
      <c r="CF141" s="24"/>
      <c r="CG141" s="24"/>
      <c r="CH141" s="24"/>
      <c r="CI141" s="24"/>
      <c r="CJ141" s="24"/>
      <c r="CK141" s="24"/>
      <c r="CL141" s="25"/>
      <c r="CM141" s="25"/>
      <c r="CN141" s="25"/>
      <c r="CO141" s="25"/>
      <c r="CP141" s="25"/>
      <c r="CQ141" s="25"/>
      <c r="CR141" s="24"/>
      <c r="CS141" s="24"/>
      <c r="CT141" s="24"/>
      <c r="CU141" s="24"/>
      <c r="CV141" s="24"/>
      <c r="CW141" s="24"/>
      <c r="CX141" s="24"/>
      <c r="CY141" s="24"/>
      <c r="CZ141" s="25"/>
      <c r="DA141" s="25"/>
      <c r="DB141" s="25"/>
      <c r="DC141" s="25"/>
      <c r="DD141" s="25"/>
      <c r="DE141" s="25"/>
      <c r="DF141" s="24"/>
      <c r="DG141" s="24"/>
      <c r="DH141" s="24"/>
      <c r="DI141" s="24"/>
      <c r="DJ141" s="24"/>
      <c r="DK141" s="24"/>
      <c r="DL141" s="24"/>
      <c r="DM141" s="24"/>
      <c r="DN141" s="25"/>
      <c r="DO141" s="25"/>
      <c r="DP141" s="25"/>
      <c r="DQ141" s="25"/>
      <c r="DR141" s="25"/>
      <c r="DS141" s="25"/>
      <c r="DT141" s="24"/>
      <c r="DU141" s="24"/>
      <c r="DV141" s="24"/>
      <c r="DW141" s="24"/>
      <c r="DX141" s="24"/>
      <c r="DY141" s="24"/>
      <c r="DZ141" s="24"/>
      <c r="EA141" s="24"/>
      <c r="EB141" s="25"/>
      <c r="EC141" s="25"/>
      <c r="ED141" s="25"/>
      <c r="EE141" s="25"/>
      <c r="EF141" s="25"/>
      <c r="EG141" s="25"/>
      <c r="EH141" s="24"/>
      <c r="EI141" s="24"/>
      <c r="EJ141" s="24"/>
      <c r="EK141" s="24"/>
      <c r="EL141" s="24"/>
      <c r="EM141" s="24"/>
      <c r="EN141" s="24"/>
      <c r="EO141" s="24"/>
      <c r="EP141" s="25"/>
      <c r="EQ141" s="25"/>
      <c r="ER141" s="25"/>
      <c r="ES141" s="25"/>
      <c r="ET141" s="25"/>
      <c r="EU141" s="25"/>
      <c r="EV141" s="24"/>
      <c r="EW141" s="24"/>
      <c r="EX141" s="24"/>
      <c r="EY141" s="24"/>
      <c r="EZ141" s="24"/>
      <c r="FA141" s="24"/>
      <c r="FB141" s="24"/>
      <c r="FC141" s="24"/>
      <c r="FD141" s="25"/>
      <c r="FE141" s="25"/>
      <c r="FF141" s="25"/>
      <c r="FG141" s="25"/>
      <c r="FH141" s="25"/>
      <c r="FI141" s="25"/>
      <c r="FJ141" s="24"/>
      <c r="FK141" s="24"/>
      <c r="FL141" s="24"/>
      <c r="FM141" s="24"/>
      <c r="FN141" s="24"/>
      <c r="FO141" s="24"/>
      <c r="FP141" s="24"/>
      <c r="FQ141" s="24"/>
      <c r="FR141" s="25"/>
      <c r="FS141" s="25"/>
      <c r="FT141" s="25"/>
      <c r="FU141" s="25"/>
      <c r="FV141" s="25"/>
      <c r="FW141" s="25"/>
      <c r="FX141" s="24"/>
      <c r="FY141" s="24"/>
      <c r="FZ141" s="24"/>
      <c r="GA141" s="24"/>
      <c r="GB141" s="24"/>
      <c r="GC141" s="24"/>
      <c r="GD141" s="24"/>
      <c r="GE141" s="24"/>
      <c r="GF141" s="25"/>
      <c r="GG141" s="25"/>
      <c r="GH141" s="25"/>
      <c r="GI141" s="25"/>
      <c r="GJ141" s="25"/>
      <c r="GK141" s="25"/>
      <c r="GL141" s="24"/>
      <c r="GM141" s="24"/>
      <c r="GN141" s="24"/>
      <c r="GO141" s="24"/>
      <c r="GP141" s="24"/>
      <c r="GQ141" s="24"/>
      <c r="GR141" s="24"/>
      <c r="GS141" s="24"/>
      <c r="GT141" s="25"/>
      <c r="GU141" s="25"/>
      <c r="GV141" s="25"/>
      <c r="GW141" s="25"/>
      <c r="GX141" s="25"/>
      <c r="GY141" s="25"/>
      <c r="GZ141" s="24"/>
      <c r="HA141" s="24"/>
      <c r="HB141" s="24"/>
      <c r="HC141" s="24"/>
      <c r="HD141" s="24"/>
      <c r="HE141" s="24"/>
      <c r="HF141" s="24"/>
      <c r="HG141" s="24"/>
      <c r="HH141" s="25"/>
      <c r="HI141" s="25"/>
      <c r="HJ141" s="25"/>
      <c r="HK141" s="25"/>
      <c r="HL141" s="25"/>
      <c r="HM141" s="25"/>
      <c r="HN141" s="24"/>
      <c r="HO141" s="24"/>
      <c r="HP141" s="24"/>
      <c r="HQ141" s="24"/>
      <c r="HR141" s="24"/>
      <c r="HS141" s="24"/>
      <c r="HT141" s="24"/>
      <c r="HU141" s="24"/>
      <c r="HV141" s="25"/>
      <c r="HW141" s="25"/>
      <c r="HX141" s="25"/>
      <c r="HY141" s="25"/>
      <c r="HZ141" s="25"/>
      <c r="IA141" s="25"/>
      <c r="IB141" s="24"/>
      <c r="IC141" s="24"/>
      <c r="ID141" s="24"/>
      <c r="IE141" s="24"/>
      <c r="IF141" s="24"/>
      <c r="IG141" s="24"/>
      <c r="IH141" s="24"/>
      <c r="II141" s="24"/>
      <c r="IJ141" s="25"/>
      <c r="IK141" s="25"/>
      <c r="IL141" s="25"/>
      <c r="IM141" s="25"/>
      <c r="IN141" s="25"/>
      <c r="IO141" s="25"/>
      <c r="IP141" s="24"/>
      <c r="IQ141" s="24"/>
      <c r="IR141" s="24"/>
      <c r="IS141" s="24"/>
      <c r="IT141" s="24"/>
      <c r="IU141" s="24"/>
      <c r="IV141" s="24"/>
      <c r="IW141" s="24"/>
      <c r="IX141" s="25"/>
      <c r="IY141" s="25"/>
      <c r="IZ141" s="25"/>
      <c r="JA141" s="25"/>
      <c r="JB141" s="25"/>
      <c r="JC141" s="25"/>
      <c r="JD141" s="24"/>
      <c r="JE141" s="24"/>
      <c r="JF141" s="24"/>
      <c r="JG141" s="24"/>
      <c r="JH141" s="24"/>
      <c r="JI141" s="24"/>
      <c r="JJ141" s="24"/>
      <c r="JK141" s="24"/>
      <c r="JL141" s="25"/>
      <c r="JM141" s="25"/>
      <c r="JN141" s="25"/>
      <c r="JO141" s="25"/>
      <c r="JP141" s="25"/>
      <c r="JQ141" s="25"/>
      <c r="JR141" s="24"/>
      <c r="JS141" s="24"/>
      <c r="JT141" s="24"/>
      <c r="JU141" s="24"/>
      <c r="JV141" s="24"/>
      <c r="JW141" s="24"/>
      <c r="JX141" s="24"/>
      <c r="JY141" s="24"/>
      <c r="JZ141" s="25"/>
      <c r="KA141" s="25"/>
      <c r="KB141" s="25"/>
      <c r="KC141" s="25"/>
      <c r="KD141" s="25"/>
      <c r="KE141" s="25"/>
      <c r="KF141" s="24"/>
      <c r="KG141" s="24"/>
      <c r="KH141" s="24"/>
      <c r="KI141" s="24"/>
      <c r="KJ141" s="24"/>
      <c r="KK141" s="24"/>
      <c r="KL141" s="24"/>
      <c r="KM141" s="24"/>
      <c r="KN141" s="25"/>
      <c r="KO141" s="25"/>
      <c r="KP141" s="25"/>
      <c r="KQ141" s="25"/>
      <c r="KR141" s="25"/>
      <c r="KS141" s="25"/>
      <c r="KT141" s="24"/>
      <c r="KU141" s="24"/>
      <c r="KV141" s="24"/>
      <c r="KW141" s="24"/>
      <c r="KX141" s="24"/>
      <c r="KY141" s="24"/>
      <c r="KZ141" s="24"/>
      <c r="LA141" s="24"/>
      <c r="LB141" s="25"/>
      <c r="LC141" s="25"/>
      <c r="LD141" s="25"/>
      <c r="LE141" s="25"/>
      <c r="LF141" s="25"/>
      <c r="LG141" s="25"/>
      <c r="LH141" s="24"/>
      <c r="LI141" s="24"/>
      <c r="LJ141" s="24"/>
      <c r="LK141" s="24"/>
      <c r="LL141" s="24"/>
      <c r="LM141" s="24"/>
      <c r="LN141" s="24"/>
      <c r="LO141" s="24"/>
      <c r="LP141" s="25"/>
      <c r="LQ141" s="25"/>
      <c r="LR141" s="25"/>
      <c r="LS141" s="25"/>
      <c r="LT141" s="25"/>
      <c r="LU141" s="25"/>
      <c r="LV141" s="24"/>
      <c r="LW141" s="24"/>
      <c r="LX141" s="24"/>
      <c r="LY141" s="24"/>
      <c r="LZ141" s="24"/>
      <c r="MA141" s="24"/>
      <c r="MB141" s="24"/>
      <c r="MC141" s="24"/>
      <c r="MD141" s="25"/>
      <c r="ME141" s="25"/>
      <c r="MF141" s="25"/>
      <c r="MG141" s="25"/>
      <c r="MH141" s="25"/>
      <c r="MI141" s="25"/>
      <c r="MJ141" s="24"/>
      <c r="MK141" s="24"/>
      <c r="ML141" s="24"/>
      <c r="MM141" s="24"/>
      <c r="MN141" s="24"/>
      <c r="MO141" s="24"/>
      <c r="MP141" s="24"/>
      <c r="MQ141" s="24"/>
      <c r="MR141" s="25"/>
      <c r="MS141" s="25"/>
      <c r="MT141" s="25"/>
      <c r="MU141" s="25"/>
      <c r="MV141" s="25"/>
      <c r="MW141" s="25"/>
      <c r="MX141" s="24"/>
      <c r="MY141" s="24"/>
      <c r="MZ141" s="24"/>
      <c r="NA141" s="24"/>
      <c r="NB141" s="24"/>
      <c r="NC141" s="24"/>
      <c r="ND141" s="24"/>
      <c r="NE141" s="24"/>
      <c r="NF141" s="25"/>
      <c r="NG141" s="25"/>
      <c r="NH141" s="25"/>
      <c r="NI141" s="25"/>
      <c r="NJ141" s="25"/>
      <c r="NK141" s="25"/>
      <c r="NL141" s="24"/>
      <c r="NM141" s="24"/>
      <c r="NN141" s="24"/>
      <c r="NO141" s="24"/>
      <c r="NP141" s="24"/>
      <c r="NQ141" s="24"/>
      <c r="NR141" s="24"/>
      <c r="NS141" s="24"/>
      <c r="NT141" s="25"/>
      <c r="NU141" s="25"/>
      <c r="NV141" s="25"/>
      <c r="NW141" s="25"/>
      <c r="NX141" s="25"/>
      <c r="NY141" s="25"/>
      <c r="NZ141" s="24"/>
      <c r="OA141" s="24"/>
      <c r="OB141" s="24"/>
      <c r="OC141" s="24"/>
      <c r="OD141" s="24"/>
      <c r="OE141" s="24"/>
      <c r="OF141" s="24"/>
      <c r="OG141" s="24"/>
      <c r="OH141" s="25"/>
      <c r="OI141" s="25"/>
      <c r="OJ141" s="25"/>
      <c r="OK141" s="25"/>
      <c r="OL141" s="25"/>
      <c r="OM141" s="25"/>
      <c r="ON141" s="24"/>
      <c r="OO141" s="24"/>
      <c r="OP141" s="24"/>
      <c r="OQ141" s="24"/>
      <c r="OR141" s="24"/>
      <c r="OS141" s="24"/>
      <c r="OT141" s="24"/>
      <c r="OU141" s="24"/>
      <c r="OV141" s="25"/>
      <c r="OW141" s="25"/>
      <c r="OX141" s="25"/>
      <c r="OY141" s="25"/>
      <c r="OZ141" s="25"/>
      <c r="PA141" s="25"/>
      <c r="PB141" s="24"/>
      <c r="PC141" s="24"/>
      <c r="PD141" s="24"/>
      <c r="PE141" s="24"/>
      <c r="PF141" s="24"/>
      <c r="PG141" s="24"/>
      <c r="PH141" s="24"/>
      <c r="PI141" s="24"/>
      <c r="PJ141" s="25"/>
      <c r="PK141" s="25"/>
      <c r="PL141" s="25"/>
      <c r="PM141" s="25"/>
      <c r="PN141" s="25"/>
      <c r="PO141" s="25"/>
      <c r="PP141" s="24"/>
      <c r="PQ141" s="24"/>
      <c r="PR141" s="24"/>
      <c r="PS141" s="24"/>
      <c r="PT141" s="24"/>
      <c r="PU141" s="24"/>
      <c r="PV141" s="24"/>
      <c r="PW141" s="24"/>
      <c r="PX141" s="25"/>
      <c r="PY141" s="25"/>
      <c r="PZ141" s="25"/>
      <c r="QA141" s="25"/>
      <c r="QB141" s="25"/>
      <c r="QC141" s="25"/>
      <c r="QD141" s="24"/>
      <c r="QE141" s="24"/>
      <c r="QF141" s="24"/>
      <c r="QG141" s="24"/>
      <c r="QH141" s="24"/>
      <c r="QI141" s="24"/>
      <c r="QJ141" s="24"/>
      <c r="QK141" s="24"/>
      <c r="QL141" s="25"/>
      <c r="QM141" s="25"/>
      <c r="QN141" s="25"/>
      <c r="QO141" s="25"/>
      <c r="QP141" s="25"/>
      <c r="QQ141" s="25"/>
      <c r="QR141" s="24"/>
      <c r="QS141" s="24"/>
      <c r="QT141" s="24"/>
      <c r="QU141" s="24"/>
      <c r="QV141" s="24"/>
      <c r="QW141" s="24"/>
      <c r="QX141" s="24"/>
      <c r="QY141" s="24"/>
      <c r="QZ141" s="25"/>
      <c r="RA141" s="25"/>
      <c r="RB141" s="25"/>
      <c r="RC141" s="25"/>
      <c r="RD141" s="25"/>
      <c r="RE141" s="25"/>
      <c r="RF141" s="24"/>
      <c r="RG141" s="24"/>
      <c r="RH141" s="24"/>
      <c r="RI141" s="24"/>
      <c r="RJ141" s="24"/>
      <c r="RK141" s="24"/>
      <c r="RL141" s="24"/>
      <c r="RM141" s="24"/>
      <c r="RN141" s="25"/>
      <c r="RO141" s="25"/>
      <c r="RP141" s="25"/>
      <c r="RQ141" s="25"/>
      <c r="RR141" s="25"/>
      <c r="RS141" s="25"/>
      <c r="RT141" s="24"/>
      <c r="RU141" s="24"/>
      <c r="RV141" s="24"/>
      <c r="RW141" s="24"/>
      <c r="RX141" s="24"/>
      <c r="RY141" s="24"/>
      <c r="RZ141" s="24"/>
    </row>
    <row r="142" spans="1:494" ht="80.25" customHeight="1" thickBot="1" x14ac:dyDescent="0.35">
      <c r="A142" s="39" t="s">
        <v>48</v>
      </c>
      <c r="B142" s="38" t="s">
        <v>54</v>
      </c>
      <c r="C142" s="38" t="s">
        <v>6</v>
      </c>
      <c r="D142" s="46">
        <f t="shared" si="45"/>
        <v>192160385.59</v>
      </c>
      <c r="E142" s="46">
        <v>0</v>
      </c>
      <c r="F142" s="46">
        <v>0</v>
      </c>
      <c r="G142" s="46">
        <v>0</v>
      </c>
      <c r="H142" s="46">
        <v>0</v>
      </c>
      <c r="I142" s="46">
        <v>31472560.379999999</v>
      </c>
      <c r="J142" s="34">
        <v>36818802.090000004</v>
      </c>
      <c r="K142" s="67">
        <f>41152725.43+410846.83</f>
        <v>41563572.259999998</v>
      </c>
      <c r="L142" s="46">
        <v>41152725.43</v>
      </c>
      <c r="M142" s="46">
        <v>41152725.43</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50.1" customHeight="1" x14ac:dyDescent="0.3">
      <c r="A143" s="114" t="s">
        <v>47</v>
      </c>
      <c r="B143" s="4" t="s">
        <v>9</v>
      </c>
      <c r="C143" s="4" t="s">
        <v>17</v>
      </c>
      <c r="D143" s="46">
        <f t="shared" si="45"/>
        <v>0</v>
      </c>
      <c r="E143" s="46">
        <v>0</v>
      </c>
      <c r="F143" s="46">
        <v>0</v>
      </c>
      <c r="G143" s="46">
        <v>0</v>
      </c>
      <c r="H143" s="46">
        <v>0</v>
      </c>
      <c r="I143" s="46">
        <v>0</v>
      </c>
      <c r="J143" s="34">
        <v>0</v>
      </c>
      <c r="K143" s="67">
        <v>0</v>
      </c>
      <c r="L143" s="46">
        <v>0</v>
      </c>
      <c r="M143" s="43">
        <v>0</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 customHeight="1" x14ac:dyDescent="0.3">
      <c r="A144" s="115"/>
      <c r="B144" s="2" t="s">
        <v>9</v>
      </c>
      <c r="C144" s="2" t="s">
        <v>6</v>
      </c>
      <c r="D144" s="46">
        <f t="shared" si="45"/>
        <v>0</v>
      </c>
      <c r="E144" s="46">
        <v>0</v>
      </c>
      <c r="F144" s="46">
        <v>0</v>
      </c>
      <c r="G144" s="46">
        <v>0</v>
      </c>
      <c r="H144" s="46">
        <v>0</v>
      </c>
      <c r="I144" s="46">
        <v>0</v>
      </c>
      <c r="J144" s="34">
        <v>0</v>
      </c>
      <c r="K144" s="67">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 customHeight="1" x14ac:dyDescent="0.3">
      <c r="A145" s="115"/>
      <c r="B145" s="2" t="s">
        <v>9</v>
      </c>
      <c r="C145" s="2" t="s">
        <v>27</v>
      </c>
      <c r="D145" s="46">
        <f t="shared" si="45"/>
        <v>0</v>
      </c>
      <c r="E145" s="46">
        <v>0</v>
      </c>
      <c r="F145" s="46">
        <v>0</v>
      </c>
      <c r="G145" s="46">
        <v>0</v>
      </c>
      <c r="H145" s="46">
        <v>0</v>
      </c>
      <c r="I145" s="46">
        <v>0</v>
      </c>
      <c r="J145" s="34">
        <v>0</v>
      </c>
      <c r="K145" s="67">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86.25" customHeight="1" x14ac:dyDescent="0.3">
      <c r="A146" s="26" t="s">
        <v>92</v>
      </c>
      <c r="B146" s="38" t="s">
        <v>23</v>
      </c>
      <c r="C146" s="38" t="s">
        <v>6</v>
      </c>
      <c r="D146" s="46">
        <f t="shared" si="45"/>
        <v>500000</v>
      </c>
      <c r="E146" s="46">
        <v>0</v>
      </c>
      <c r="F146" s="46">
        <v>0</v>
      </c>
      <c r="G146" s="46">
        <v>0</v>
      </c>
      <c r="H146" s="46">
        <v>0</v>
      </c>
      <c r="I146" s="46">
        <v>500000</v>
      </c>
      <c r="J146" s="34">
        <v>0</v>
      </c>
      <c r="K146" s="67">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3">
      <c r="A147" s="22" t="s">
        <v>93</v>
      </c>
      <c r="B147" s="2" t="s">
        <v>23</v>
      </c>
      <c r="C147" s="2" t="s">
        <v>6</v>
      </c>
      <c r="D147" s="46">
        <f t="shared" si="45"/>
        <v>0</v>
      </c>
      <c r="E147" s="46">
        <v>0</v>
      </c>
      <c r="F147" s="46">
        <v>0</v>
      </c>
      <c r="G147" s="46">
        <v>0</v>
      </c>
      <c r="H147" s="46">
        <v>0</v>
      </c>
      <c r="I147" s="46">
        <v>0</v>
      </c>
      <c r="J147" s="34">
        <f>2000000-2000000</f>
        <v>0</v>
      </c>
      <c r="K147" s="67">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3">
      <c r="A148" s="22" t="s">
        <v>135</v>
      </c>
      <c r="B148" s="2" t="s">
        <v>23</v>
      </c>
      <c r="C148" s="2" t="s">
        <v>6</v>
      </c>
      <c r="D148" s="46">
        <f t="shared" si="45"/>
        <v>229884</v>
      </c>
      <c r="E148" s="46">
        <v>0</v>
      </c>
      <c r="F148" s="46">
        <v>0</v>
      </c>
      <c r="G148" s="46">
        <v>0</v>
      </c>
      <c r="H148" s="46">
        <v>0</v>
      </c>
      <c r="I148" s="46">
        <v>0</v>
      </c>
      <c r="J148" s="34">
        <v>229884</v>
      </c>
      <c r="K148" s="67">
        <v>0</v>
      </c>
      <c r="L148" s="46">
        <v>0</v>
      </c>
      <c r="M148" s="46">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3">
      <c r="A149" s="22" t="s">
        <v>136</v>
      </c>
      <c r="B149" s="2" t="s">
        <v>23</v>
      </c>
      <c r="C149" s="2" t="s">
        <v>6</v>
      </c>
      <c r="D149" s="46">
        <f t="shared" si="45"/>
        <v>35500</v>
      </c>
      <c r="E149" s="46">
        <v>0</v>
      </c>
      <c r="F149" s="46">
        <v>0</v>
      </c>
      <c r="G149" s="46">
        <v>0</v>
      </c>
      <c r="H149" s="46">
        <v>0</v>
      </c>
      <c r="I149" s="46">
        <v>0</v>
      </c>
      <c r="J149" s="46">
        <v>35500</v>
      </c>
      <c r="K149" s="67">
        <v>0</v>
      </c>
      <c r="L149" s="46">
        <v>0</v>
      </c>
      <c r="M149" s="46">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35.25" customHeight="1" x14ac:dyDescent="0.3">
      <c r="A150" s="71"/>
      <c r="B150" s="72"/>
      <c r="C150" s="72"/>
      <c r="D150" s="37"/>
      <c r="E150" s="37"/>
      <c r="F150" s="37"/>
      <c r="G150" s="37"/>
      <c r="H150" s="37"/>
      <c r="I150" s="37"/>
      <c r="J150" s="37"/>
      <c r="K150" s="73"/>
      <c r="L150" s="37"/>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row r="151" spans="1:494" ht="98.25" customHeight="1" x14ac:dyDescent="0.3">
      <c r="A151" s="74" t="s">
        <v>150</v>
      </c>
      <c r="B151" s="74"/>
      <c r="C151" s="74"/>
      <c r="D151" s="74"/>
      <c r="E151" s="74"/>
      <c r="F151" s="74"/>
      <c r="G151" s="74"/>
      <c r="H151" s="74"/>
      <c r="I151" s="74"/>
      <c r="J151" s="74"/>
      <c r="K151" s="74"/>
      <c r="L151" s="74"/>
      <c r="M151" s="74"/>
      <c r="N151" s="24"/>
      <c r="O151" s="24"/>
      <c r="P151" s="24"/>
      <c r="Q151" s="24"/>
      <c r="R151" s="24"/>
      <c r="S151" s="24"/>
      <c r="T151" s="25"/>
      <c r="U151" s="25"/>
      <c r="V151" s="25"/>
      <c r="W151" s="25"/>
      <c r="X151" s="25"/>
      <c r="Y151" s="25"/>
      <c r="Z151" s="24"/>
      <c r="AA151" s="24"/>
      <c r="AB151" s="24"/>
      <c r="AC151" s="24"/>
      <c r="AD151" s="24"/>
      <c r="AE151" s="24"/>
      <c r="AF151" s="24"/>
      <c r="AG151" s="24"/>
      <c r="AH151" s="25"/>
      <c r="AI151" s="25"/>
      <c r="AJ151" s="25"/>
      <c r="AK151" s="25"/>
      <c r="AL151" s="25"/>
      <c r="AM151" s="25"/>
      <c r="AN151" s="24"/>
      <c r="AO151" s="24"/>
      <c r="AP151" s="24"/>
      <c r="AQ151" s="24"/>
      <c r="AR151" s="24"/>
      <c r="AS151" s="24"/>
      <c r="AT151" s="24"/>
      <c r="AU151" s="24"/>
      <c r="AV151" s="25"/>
      <c r="AW151" s="25"/>
      <c r="AX151" s="25"/>
      <c r="AY151" s="25"/>
      <c r="AZ151" s="25"/>
      <c r="BA151" s="25"/>
      <c r="BB151" s="24"/>
      <c r="BC151" s="24"/>
      <c r="BD151" s="24"/>
      <c r="BE151" s="24"/>
      <c r="BF151" s="24"/>
      <c r="BG151" s="24"/>
      <c r="BH151" s="24"/>
      <c r="BI151" s="24"/>
      <c r="BJ151" s="25"/>
      <c r="BK151" s="25"/>
      <c r="BL151" s="25"/>
      <c r="BM151" s="25"/>
      <c r="BN151" s="25"/>
      <c r="BO151" s="25"/>
      <c r="BP151" s="24"/>
      <c r="BQ151" s="24"/>
      <c r="BR151" s="24"/>
      <c r="BS151" s="24"/>
      <c r="BT151" s="24"/>
      <c r="BU151" s="24"/>
      <c r="BV151" s="24"/>
      <c r="BW151" s="24"/>
      <c r="BX151" s="25"/>
      <c r="BY151" s="25"/>
      <c r="BZ151" s="25"/>
      <c r="CA151" s="25"/>
      <c r="CB151" s="25"/>
      <c r="CC151" s="25"/>
      <c r="CD151" s="24"/>
      <c r="CE151" s="24"/>
      <c r="CF151" s="24"/>
      <c r="CG151" s="24"/>
      <c r="CH151" s="24"/>
      <c r="CI151" s="24"/>
      <c r="CJ151" s="24"/>
      <c r="CK151" s="24"/>
      <c r="CL151" s="25"/>
      <c r="CM151" s="25"/>
      <c r="CN151" s="25"/>
      <c r="CO151" s="25"/>
      <c r="CP151" s="25"/>
      <c r="CQ151" s="25"/>
      <c r="CR151" s="24"/>
      <c r="CS151" s="24"/>
      <c r="CT151" s="24"/>
      <c r="CU151" s="24"/>
      <c r="CV151" s="24"/>
      <c r="CW151" s="24"/>
      <c r="CX151" s="24"/>
      <c r="CY151" s="24"/>
      <c r="CZ151" s="25"/>
      <c r="DA151" s="25"/>
      <c r="DB151" s="25"/>
      <c r="DC151" s="25"/>
      <c r="DD151" s="25"/>
      <c r="DE151" s="25"/>
      <c r="DF151" s="24"/>
      <c r="DG151" s="24"/>
      <c r="DH151" s="24"/>
      <c r="DI151" s="24"/>
      <c r="DJ151" s="24"/>
      <c r="DK151" s="24"/>
      <c r="DL151" s="24"/>
      <c r="DM151" s="24"/>
      <c r="DN151" s="25"/>
      <c r="DO151" s="25"/>
      <c r="DP151" s="25"/>
      <c r="DQ151" s="25"/>
      <c r="DR151" s="25"/>
      <c r="DS151" s="25"/>
      <c r="DT151" s="24"/>
      <c r="DU151" s="24"/>
      <c r="DV151" s="24"/>
      <c r="DW151" s="24"/>
      <c r="DX151" s="24"/>
      <c r="DY151" s="24"/>
      <c r="DZ151" s="24"/>
      <c r="EA151" s="24"/>
      <c r="EB151" s="25"/>
      <c r="EC151" s="25"/>
      <c r="ED151" s="25"/>
      <c r="EE151" s="25"/>
      <c r="EF151" s="25"/>
      <c r="EG151" s="25"/>
      <c r="EH151" s="24"/>
      <c r="EI151" s="24"/>
      <c r="EJ151" s="24"/>
      <c r="EK151" s="24"/>
      <c r="EL151" s="24"/>
      <c r="EM151" s="24"/>
      <c r="EN151" s="24"/>
      <c r="EO151" s="24"/>
      <c r="EP151" s="25"/>
      <c r="EQ151" s="25"/>
      <c r="ER151" s="25"/>
      <c r="ES151" s="25"/>
      <c r="ET151" s="25"/>
      <c r="EU151" s="25"/>
      <c r="EV151" s="24"/>
      <c r="EW151" s="24"/>
      <c r="EX151" s="24"/>
      <c r="EY151" s="24"/>
      <c r="EZ151" s="24"/>
      <c r="FA151" s="24"/>
      <c r="FB151" s="24"/>
      <c r="FC151" s="24"/>
      <c r="FD151" s="25"/>
      <c r="FE151" s="25"/>
      <c r="FF151" s="25"/>
      <c r="FG151" s="25"/>
      <c r="FH151" s="25"/>
      <c r="FI151" s="25"/>
      <c r="FJ151" s="24"/>
      <c r="FK151" s="24"/>
      <c r="FL151" s="24"/>
      <c r="FM151" s="24"/>
      <c r="FN151" s="24"/>
      <c r="FO151" s="24"/>
      <c r="FP151" s="24"/>
      <c r="FQ151" s="24"/>
      <c r="FR151" s="25"/>
      <c r="FS151" s="25"/>
      <c r="FT151" s="25"/>
      <c r="FU151" s="25"/>
      <c r="FV151" s="25"/>
      <c r="FW151" s="25"/>
      <c r="FX151" s="24"/>
      <c r="FY151" s="24"/>
      <c r="FZ151" s="24"/>
      <c r="GA151" s="24"/>
      <c r="GB151" s="24"/>
      <c r="GC151" s="24"/>
      <c r="GD151" s="24"/>
      <c r="GE151" s="24"/>
      <c r="GF151" s="25"/>
      <c r="GG151" s="25"/>
      <c r="GH151" s="25"/>
      <c r="GI151" s="25"/>
      <c r="GJ151" s="25"/>
      <c r="GK151" s="25"/>
      <c r="GL151" s="24"/>
      <c r="GM151" s="24"/>
      <c r="GN151" s="24"/>
      <c r="GO151" s="24"/>
      <c r="GP151" s="24"/>
      <c r="GQ151" s="24"/>
      <c r="GR151" s="24"/>
      <c r="GS151" s="24"/>
      <c r="GT151" s="25"/>
      <c r="GU151" s="25"/>
      <c r="GV151" s="25"/>
      <c r="GW151" s="25"/>
      <c r="GX151" s="25"/>
      <c r="GY151" s="25"/>
      <c r="GZ151" s="24"/>
      <c r="HA151" s="24"/>
      <c r="HB151" s="24"/>
      <c r="HC151" s="24"/>
      <c r="HD151" s="24"/>
      <c r="HE151" s="24"/>
      <c r="HF151" s="24"/>
      <c r="HG151" s="24"/>
      <c r="HH151" s="25"/>
      <c r="HI151" s="25"/>
      <c r="HJ151" s="25"/>
      <c r="HK151" s="25"/>
      <c r="HL151" s="25"/>
      <c r="HM151" s="25"/>
      <c r="HN151" s="24"/>
      <c r="HO151" s="24"/>
      <c r="HP151" s="24"/>
      <c r="HQ151" s="24"/>
      <c r="HR151" s="24"/>
      <c r="HS151" s="24"/>
      <c r="HT151" s="24"/>
      <c r="HU151" s="24"/>
      <c r="HV151" s="25"/>
      <c r="HW151" s="25"/>
      <c r="HX151" s="25"/>
      <c r="HY151" s="25"/>
      <c r="HZ151" s="25"/>
      <c r="IA151" s="25"/>
      <c r="IB151" s="24"/>
      <c r="IC151" s="24"/>
      <c r="ID151" s="24"/>
      <c r="IE151" s="24"/>
      <c r="IF151" s="24"/>
      <c r="IG151" s="24"/>
      <c r="IH151" s="24"/>
      <c r="II151" s="24"/>
      <c r="IJ151" s="25"/>
      <c r="IK151" s="25"/>
      <c r="IL151" s="25"/>
      <c r="IM151" s="25"/>
      <c r="IN151" s="25"/>
      <c r="IO151" s="25"/>
      <c r="IP151" s="24"/>
      <c r="IQ151" s="24"/>
      <c r="IR151" s="24"/>
      <c r="IS151" s="24"/>
      <c r="IT151" s="24"/>
      <c r="IU151" s="24"/>
      <c r="IV151" s="24"/>
      <c r="IW151" s="24"/>
      <c r="IX151" s="25"/>
      <c r="IY151" s="25"/>
      <c r="IZ151" s="25"/>
      <c r="JA151" s="25"/>
      <c r="JB151" s="25"/>
      <c r="JC151" s="25"/>
      <c r="JD151" s="24"/>
      <c r="JE151" s="24"/>
      <c r="JF151" s="24"/>
      <c r="JG151" s="24"/>
      <c r="JH151" s="24"/>
      <c r="JI151" s="24"/>
      <c r="JJ151" s="24"/>
      <c r="JK151" s="24"/>
      <c r="JL151" s="25"/>
      <c r="JM151" s="25"/>
      <c r="JN151" s="25"/>
      <c r="JO151" s="25"/>
      <c r="JP151" s="25"/>
      <c r="JQ151" s="25"/>
      <c r="JR151" s="24"/>
      <c r="JS151" s="24"/>
      <c r="JT151" s="24"/>
      <c r="JU151" s="24"/>
      <c r="JV151" s="24"/>
      <c r="JW151" s="24"/>
      <c r="JX151" s="24"/>
      <c r="JY151" s="24"/>
      <c r="JZ151" s="25"/>
      <c r="KA151" s="25"/>
      <c r="KB151" s="25"/>
      <c r="KC151" s="25"/>
      <c r="KD151" s="25"/>
      <c r="KE151" s="25"/>
      <c r="KF151" s="24"/>
      <c r="KG151" s="24"/>
      <c r="KH151" s="24"/>
      <c r="KI151" s="24"/>
      <c r="KJ151" s="24"/>
      <c r="KK151" s="24"/>
      <c r="KL151" s="24"/>
      <c r="KM151" s="24"/>
      <c r="KN151" s="25"/>
      <c r="KO151" s="25"/>
      <c r="KP151" s="25"/>
      <c r="KQ151" s="25"/>
      <c r="KR151" s="25"/>
      <c r="KS151" s="25"/>
      <c r="KT151" s="24"/>
      <c r="KU151" s="24"/>
      <c r="KV151" s="24"/>
      <c r="KW151" s="24"/>
      <c r="KX151" s="24"/>
      <c r="KY151" s="24"/>
      <c r="KZ151" s="24"/>
      <c r="LA151" s="24"/>
      <c r="LB151" s="25"/>
      <c r="LC151" s="25"/>
      <c r="LD151" s="25"/>
      <c r="LE151" s="25"/>
      <c r="LF151" s="25"/>
      <c r="LG151" s="25"/>
      <c r="LH151" s="24"/>
      <c r="LI151" s="24"/>
      <c r="LJ151" s="24"/>
      <c r="LK151" s="24"/>
      <c r="LL151" s="24"/>
      <c r="LM151" s="24"/>
      <c r="LN151" s="24"/>
      <c r="LO151" s="24"/>
      <c r="LP151" s="25"/>
      <c r="LQ151" s="25"/>
      <c r="LR151" s="25"/>
      <c r="LS151" s="25"/>
      <c r="LT151" s="25"/>
      <c r="LU151" s="25"/>
      <c r="LV151" s="24"/>
      <c r="LW151" s="24"/>
      <c r="LX151" s="24"/>
      <c r="LY151" s="24"/>
      <c r="LZ151" s="24"/>
      <c r="MA151" s="24"/>
      <c r="MB151" s="24"/>
      <c r="MC151" s="24"/>
      <c r="MD151" s="25"/>
      <c r="ME151" s="25"/>
      <c r="MF151" s="25"/>
      <c r="MG151" s="25"/>
      <c r="MH151" s="25"/>
      <c r="MI151" s="25"/>
      <c r="MJ151" s="24"/>
      <c r="MK151" s="24"/>
      <c r="ML151" s="24"/>
      <c r="MM151" s="24"/>
      <c r="MN151" s="24"/>
      <c r="MO151" s="24"/>
      <c r="MP151" s="24"/>
      <c r="MQ151" s="24"/>
      <c r="MR151" s="25"/>
      <c r="MS151" s="25"/>
      <c r="MT151" s="25"/>
      <c r="MU151" s="25"/>
      <c r="MV151" s="25"/>
      <c r="MW151" s="25"/>
      <c r="MX151" s="24"/>
      <c r="MY151" s="24"/>
      <c r="MZ151" s="24"/>
      <c r="NA151" s="24"/>
      <c r="NB151" s="24"/>
      <c r="NC151" s="24"/>
      <c r="ND151" s="24"/>
      <c r="NE151" s="24"/>
      <c r="NF151" s="25"/>
      <c r="NG151" s="25"/>
      <c r="NH151" s="25"/>
      <c r="NI151" s="25"/>
      <c r="NJ151" s="25"/>
      <c r="NK151" s="25"/>
      <c r="NL151" s="24"/>
      <c r="NM151" s="24"/>
      <c r="NN151" s="24"/>
      <c r="NO151" s="24"/>
      <c r="NP151" s="24"/>
      <c r="NQ151" s="24"/>
      <c r="NR151" s="24"/>
      <c r="NS151" s="24"/>
      <c r="NT151" s="25"/>
      <c r="NU151" s="25"/>
      <c r="NV151" s="25"/>
      <c r="NW151" s="25"/>
      <c r="NX151" s="25"/>
      <c r="NY151" s="25"/>
      <c r="NZ151" s="24"/>
      <c r="OA151" s="24"/>
      <c r="OB151" s="24"/>
      <c r="OC151" s="24"/>
      <c r="OD151" s="24"/>
      <c r="OE151" s="24"/>
      <c r="OF151" s="24"/>
      <c r="OG151" s="24"/>
      <c r="OH151" s="25"/>
      <c r="OI151" s="25"/>
      <c r="OJ151" s="25"/>
      <c r="OK151" s="25"/>
      <c r="OL151" s="25"/>
      <c r="OM151" s="25"/>
      <c r="ON151" s="24"/>
      <c r="OO151" s="24"/>
      <c r="OP151" s="24"/>
      <c r="OQ151" s="24"/>
      <c r="OR151" s="24"/>
      <c r="OS151" s="24"/>
      <c r="OT151" s="24"/>
      <c r="OU151" s="24"/>
      <c r="OV151" s="25"/>
      <c r="OW151" s="25"/>
      <c r="OX151" s="25"/>
      <c r="OY151" s="25"/>
      <c r="OZ151" s="25"/>
      <c r="PA151" s="25"/>
      <c r="PB151" s="24"/>
      <c r="PC151" s="24"/>
      <c r="PD151" s="24"/>
      <c r="PE151" s="24"/>
      <c r="PF151" s="24"/>
      <c r="PG151" s="24"/>
      <c r="PH151" s="24"/>
      <c r="PI151" s="24"/>
      <c r="PJ151" s="25"/>
      <c r="PK151" s="25"/>
      <c r="PL151" s="25"/>
      <c r="PM151" s="25"/>
      <c r="PN151" s="25"/>
      <c r="PO151" s="25"/>
      <c r="PP151" s="24"/>
      <c r="PQ151" s="24"/>
      <c r="PR151" s="24"/>
      <c r="PS151" s="24"/>
      <c r="PT151" s="24"/>
      <c r="PU151" s="24"/>
      <c r="PV151" s="24"/>
      <c r="PW151" s="24"/>
      <c r="PX151" s="25"/>
      <c r="PY151" s="25"/>
      <c r="PZ151" s="25"/>
      <c r="QA151" s="25"/>
      <c r="QB151" s="25"/>
      <c r="QC151" s="25"/>
      <c r="QD151" s="24"/>
      <c r="QE151" s="24"/>
      <c r="QF151" s="24"/>
      <c r="QG151" s="24"/>
      <c r="QH151" s="24"/>
      <c r="QI151" s="24"/>
      <c r="QJ151" s="24"/>
      <c r="QK151" s="24"/>
      <c r="QL151" s="25"/>
      <c r="QM151" s="25"/>
      <c r="QN151" s="25"/>
      <c r="QO151" s="25"/>
      <c r="QP151" s="25"/>
      <c r="QQ151" s="25"/>
      <c r="QR151" s="24"/>
      <c r="QS151" s="24"/>
      <c r="QT151" s="24"/>
      <c r="QU151" s="24"/>
      <c r="QV151" s="24"/>
      <c r="QW151" s="24"/>
      <c r="QX151" s="24"/>
      <c r="QY151" s="24"/>
      <c r="QZ151" s="25"/>
      <c r="RA151" s="25"/>
      <c r="RB151" s="25"/>
      <c r="RC151" s="25"/>
      <c r="RD151" s="25"/>
      <c r="RE151" s="25"/>
      <c r="RF151" s="24"/>
      <c r="RG151" s="24"/>
      <c r="RH151" s="24"/>
      <c r="RI151" s="24"/>
      <c r="RJ151" s="24"/>
      <c r="RK151" s="24"/>
      <c r="RL151" s="24"/>
      <c r="RM151" s="24"/>
      <c r="RN151" s="25"/>
      <c r="RO151" s="25"/>
      <c r="RP151" s="25"/>
      <c r="RQ151" s="25"/>
      <c r="RR151" s="25"/>
      <c r="RS151" s="25"/>
      <c r="RT151" s="24"/>
      <c r="RU151" s="24"/>
      <c r="RV151" s="24"/>
      <c r="RW151" s="24"/>
      <c r="RX151" s="24"/>
      <c r="RY151" s="24"/>
      <c r="RZ151" s="24"/>
    </row>
  </sheetData>
  <mergeCells count="62">
    <mergeCell ref="I12:I13"/>
    <mergeCell ref="E12:E13"/>
    <mergeCell ref="D11:D13"/>
    <mergeCell ref="A14:A16"/>
    <mergeCell ref="A26:A28"/>
    <mergeCell ref="A95:A98"/>
    <mergeCell ref="C130:C131"/>
    <mergeCell ref="A143:A145"/>
    <mergeCell ref="B130:B131"/>
    <mergeCell ref="I7:L7"/>
    <mergeCell ref="A23:A25"/>
    <mergeCell ref="A8:K8"/>
    <mergeCell ref="A9:K9"/>
    <mergeCell ref="J4:M4"/>
    <mergeCell ref="H5:M5"/>
    <mergeCell ref="H6:M6"/>
    <mergeCell ref="L12:L13"/>
    <mergeCell ref="J12:J13"/>
    <mergeCell ref="F12:F13"/>
    <mergeCell ref="G12:G13"/>
    <mergeCell ref="H12:H13"/>
    <mergeCell ref="A11:A13"/>
    <mergeCell ref="K12:K13"/>
    <mergeCell ref="C11:C13"/>
    <mergeCell ref="B11:B13"/>
    <mergeCell ref="A45:A47"/>
    <mergeCell ref="B45:B47"/>
    <mergeCell ref="B57:B58"/>
    <mergeCell ref="A78:A80"/>
    <mergeCell ref="A57:A59"/>
    <mergeCell ref="B78:B80"/>
    <mergeCell ref="A63:A65"/>
    <mergeCell ref="J130:J131"/>
    <mergeCell ref="K130:K131"/>
    <mergeCell ref="L130:L131"/>
    <mergeCell ref="A54:A56"/>
    <mergeCell ref="B63:B65"/>
    <mergeCell ref="A130:A140"/>
    <mergeCell ref="B127:B129"/>
    <mergeCell ref="A127:A129"/>
    <mergeCell ref="A99:A101"/>
    <mergeCell ref="A105:A107"/>
    <mergeCell ref="A122:A124"/>
    <mergeCell ref="A102:A104"/>
    <mergeCell ref="B122:B124"/>
    <mergeCell ref="A91:A94"/>
    <mergeCell ref="A151:M151"/>
    <mergeCell ref="J2:M2"/>
    <mergeCell ref="L3:M3"/>
    <mergeCell ref="M130:M131"/>
    <mergeCell ref="B26:B28"/>
    <mergeCell ref="B14:B16"/>
    <mergeCell ref="B23:B25"/>
    <mergeCell ref="E11:M11"/>
    <mergeCell ref="M12:M13"/>
    <mergeCell ref="B54:B56"/>
    <mergeCell ref="D130:D131"/>
    <mergeCell ref="E130:E131"/>
    <mergeCell ref="F130:F131"/>
    <mergeCell ref="G130:G131"/>
    <mergeCell ref="H130:H131"/>
    <mergeCell ref="I130:I131"/>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4.4" x14ac:dyDescent="0.3"/>
  <cols>
    <col min="6" max="6" width="23" customWidth="1"/>
  </cols>
  <sheetData>
    <row r="3" spans="6:6" x14ac:dyDescent="0.3">
      <c r="F3">
        <v>41152725.43</v>
      </c>
    </row>
    <row r="4" spans="6:6" x14ac:dyDescent="0.3">
      <c r="F4">
        <v>7200000</v>
      </c>
    </row>
    <row r="5" spans="6:6" x14ac:dyDescent="0.3">
      <c r="F5">
        <v>16650000</v>
      </c>
    </row>
    <row r="6" spans="6:6" x14ac:dyDescent="0.3">
      <c r="F6">
        <v>66152263.600000001</v>
      </c>
    </row>
    <row r="7" spans="6:6" x14ac:dyDescent="0.3">
      <c r="F7">
        <v>7420126.6600000001</v>
      </c>
    </row>
    <row r="8" spans="6:6" x14ac:dyDescent="0.3">
      <c r="F8">
        <v>21594209.73</v>
      </c>
    </row>
    <row r="9" spans="6:6" x14ac:dyDescent="0.3">
      <c r="F9">
        <v>2000000</v>
      </c>
    </row>
    <row r="10" spans="6:6" x14ac:dyDescent="0.3">
      <c r="F10">
        <v>400000</v>
      </c>
    </row>
    <row r="11" spans="6:6" x14ac:dyDescent="0.3">
      <c r="F11">
        <v>200000</v>
      </c>
    </row>
    <row r="12" spans="6:6" x14ac:dyDescent="0.3">
      <c r="F12">
        <v>1000000</v>
      </c>
    </row>
    <row r="13" spans="6:6" x14ac:dyDescent="0.3">
      <c r="F13">
        <v>30000</v>
      </c>
    </row>
    <row r="14" spans="6:6" x14ac:dyDescent="0.3">
      <c r="F14">
        <v>7509942.6399999997</v>
      </c>
    </row>
    <row r="15" spans="6:6" x14ac:dyDescent="0.3">
      <c r="F15">
        <v>138881410.30000001</v>
      </c>
    </row>
    <row r="16" spans="6:6" x14ac:dyDescent="0.3">
      <c r="F16">
        <v>25000</v>
      </c>
    </row>
    <row r="17" spans="6:6" x14ac:dyDescent="0.3">
      <c r="F17">
        <v>668920</v>
      </c>
    </row>
    <row r="18" spans="6:6" x14ac:dyDescent="0.3">
      <c r="F18">
        <v>150000</v>
      </c>
    </row>
    <row r="19" spans="6:6" x14ac:dyDescent="0.3">
      <c r="F19">
        <v>145905</v>
      </c>
    </row>
    <row r="20" spans="6:6" x14ac:dyDescent="0.3">
      <c r="F20">
        <v>1600000</v>
      </c>
    </row>
    <row r="21" spans="6:6" x14ac:dyDescent="0.3">
      <c r="F21">
        <v>2500000</v>
      </c>
    </row>
    <row r="22" spans="6:6" x14ac:dyDescent="0.3">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2025-07-21T00:26:25Z</dcterms:modified>
</cp:coreProperties>
</file>