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74B96B9B-C58F-4CF2-8394-A488561D90E6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/>
</workbook>
</file>

<file path=xl/calcChain.xml><?xml version="1.0" encoding="utf-8"?>
<calcChain xmlns="http://schemas.openxmlformats.org/spreadsheetml/2006/main">
  <c r="D148" i="4" l="1"/>
  <c r="D147" i="4"/>
  <c r="J146" i="4"/>
  <c r="D146" i="4"/>
  <c r="D145" i="4"/>
  <c r="D144" i="4"/>
  <c r="D143" i="4"/>
  <c r="D142" i="4"/>
  <c r="J141" i="4"/>
  <c r="D141" i="4" s="1"/>
  <c r="J140" i="4"/>
  <c r="D140" i="4" s="1"/>
  <c r="D139" i="4"/>
  <c r="D138" i="4"/>
  <c r="D137" i="4"/>
  <c r="D136" i="4"/>
  <c r="D135" i="4"/>
  <c r="D134" i="4"/>
  <c r="D133" i="4"/>
  <c r="D132" i="4"/>
  <c r="D131" i="4"/>
  <c r="D129" i="4" s="1"/>
  <c r="L129" i="4"/>
  <c r="K129" i="4"/>
  <c r="J129" i="4"/>
  <c r="I129" i="4"/>
  <c r="I79" i="4" s="1"/>
  <c r="H129" i="4"/>
  <c r="G129" i="4"/>
  <c r="F129" i="4"/>
  <c r="E129" i="4"/>
  <c r="E79" i="4" s="1"/>
  <c r="D128" i="4"/>
  <c r="F127" i="4"/>
  <c r="D127" i="4"/>
  <c r="D126" i="4" s="1"/>
  <c r="L126" i="4"/>
  <c r="K126" i="4"/>
  <c r="J126" i="4"/>
  <c r="I126" i="4"/>
  <c r="H126" i="4"/>
  <c r="G126" i="4"/>
  <c r="F126" i="4"/>
  <c r="E126" i="4"/>
  <c r="D125" i="4"/>
  <c r="D124" i="4"/>
  <c r="J123" i="4"/>
  <c r="D123" i="4" s="1"/>
  <c r="J122" i="4"/>
  <c r="D122" i="4"/>
  <c r="L121" i="4"/>
  <c r="K121" i="4"/>
  <c r="I121" i="4"/>
  <c r="H121" i="4"/>
  <c r="G121" i="4"/>
  <c r="F121" i="4"/>
  <c r="E121" i="4"/>
  <c r="J120" i="4"/>
  <c r="H120" i="4"/>
  <c r="G120" i="4"/>
  <c r="F120" i="4"/>
  <c r="D120" i="4" s="1"/>
  <c r="J119" i="4"/>
  <c r="H119" i="4"/>
  <c r="G119" i="4"/>
  <c r="F119" i="4"/>
  <c r="D119" i="4" s="1"/>
  <c r="H118" i="4"/>
  <c r="G118" i="4"/>
  <c r="D118" i="4" s="1"/>
  <c r="F117" i="4"/>
  <c r="D117" i="4" s="1"/>
  <c r="F116" i="4"/>
  <c r="D116" i="4" s="1"/>
  <c r="J115" i="4"/>
  <c r="H115" i="4"/>
  <c r="G115" i="4"/>
  <c r="D115" i="4" s="1"/>
  <c r="F115" i="4"/>
  <c r="J114" i="4"/>
  <c r="H114" i="4"/>
  <c r="G114" i="4"/>
  <c r="F114" i="4"/>
  <c r="E114" i="4"/>
  <c r="D114" i="4"/>
  <c r="D113" i="4"/>
  <c r="J112" i="4"/>
  <c r="G112" i="4"/>
  <c r="F112" i="4"/>
  <c r="D112" i="4" s="1"/>
  <c r="E112" i="4"/>
  <c r="J111" i="4"/>
  <c r="H111" i="4"/>
  <c r="H109" i="4" s="1"/>
  <c r="G111" i="4"/>
  <c r="F111" i="4"/>
  <c r="D111" i="4" s="1"/>
  <c r="I110" i="4"/>
  <c r="H110" i="4"/>
  <c r="G110" i="4"/>
  <c r="F110" i="4"/>
  <c r="D110" i="4"/>
  <c r="L109" i="4"/>
  <c r="K109" i="4"/>
  <c r="J109" i="4"/>
  <c r="I109" i="4"/>
  <c r="G109" i="4"/>
  <c r="E109" i="4"/>
  <c r="J108" i="4"/>
  <c r="D108" i="4" s="1"/>
  <c r="H107" i="4"/>
  <c r="D107" i="4" s="1"/>
  <c r="D106" i="4"/>
  <c r="J105" i="4"/>
  <c r="D105" i="4"/>
  <c r="D104" i="4" s="1"/>
  <c r="L104" i="4"/>
  <c r="K104" i="4"/>
  <c r="J104" i="4"/>
  <c r="I104" i="4"/>
  <c r="I90" i="4" s="1"/>
  <c r="I78" i="4" s="1"/>
  <c r="H104" i="4"/>
  <c r="G104" i="4"/>
  <c r="F104" i="4"/>
  <c r="E104" i="4"/>
  <c r="D103" i="4"/>
  <c r="J102" i="4"/>
  <c r="H102" i="4"/>
  <c r="H91" i="4" s="1"/>
  <c r="E102" i="4"/>
  <c r="L101" i="4"/>
  <c r="K101" i="4"/>
  <c r="J101" i="4"/>
  <c r="I101" i="4"/>
  <c r="G101" i="4"/>
  <c r="F101" i="4"/>
  <c r="E101" i="4"/>
  <c r="D100" i="4"/>
  <c r="J99" i="4"/>
  <c r="H99" i="4"/>
  <c r="H98" i="4" s="1"/>
  <c r="G99" i="4"/>
  <c r="F99" i="4"/>
  <c r="F98" i="4" s="1"/>
  <c r="F90" i="4" s="1"/>
  <c r="E99" i="4"/>
  <c r="L98" i="4"/>
  <c r="K98" i="4"/>
  <c r="K90" i="4" s="1"/>
  <c r="J98" i="4"/>
  <c r="I98" i="4"/>
  <c r="G98" i="4"/>
  <c r="E98" i="4"/>
  <c r="D98" i="4" s="1"/>
  <c r="D97" i="4"/>
  <c r="J96" i="4"/>
  <c r="G96" i="4"/>
  <c r="G92" i="4" s="1"/>
  <c r="D92" i="4" s="1"/>
  <c r="F96" i="4"/>
  <c r="D96" i="4"/>
  <c r="H95" i="4"/>
  <c r="G95" i="4"/>
  <c r="G94" i="4" s="1"/>
  <c r="G90" i="4" s="1"/>
  <c r="F95" i="4"/>
  <c r="E95" i="4"/>
  <c r="D95" i="4" s="1"/>
  <c r="L94" i="4"/>
  <c r="K94" i="4"/>
  <c r="J94" i="4"/>
  <c r="I94" i="4"/>
  <c r="H94" i="4"/>
  <c r="F94" i="4"/>
  <c r="H93" i="4"/>
  <c r="G93" i="4"/>
  <c r="F93" i="4"/>
  <c r="E93" i="4"/>
  <c r="D93" i="4" s="1"/>
  <c r="H92" i="4"/>
  <c r="F92" i="4"/>
  <c r="E92" i="4"/>
  <c r="G91" i="4"/>
  <c r="E91" i="4"/>
  <c r="L90" i="4"/>
  <c r="J90" i="4"/>
  <c r="H89" i="4"/>
  <c r="D89" i="4"/>
  <c r="J88" i="4"/>
  <c r="G88" i="4"/>
  <c r="F88" i="4"/>
  <c r="D88" i="4"/>
  <c r="D87" i="4"/>
  <c r="H86" i="4"/>
  <c r="D86" i="4" s="1"/>
  <c r="D85" i="4"/>
  <c r="D84" i="4"/>
  <c r="J83" i="4"/>
  <c r="J82" i="4" s="1"/>
  <c r="J78" i="4" s="1"/>
  <c r="H83" i="4"/>
  <c r="G83" i="4"/>
  <c r="D83" i="4" s="1"/>
  <c r="D82" i="4" s="1"/>
  <c r="F83" i="4"/>
  <c r="L82" i="4"/>
  <c r="K82" i="4"/>
  <c r="I82" i="4"/>
  <c r="G82" i="4"/>
  <c r="G78" i="4" s="1"/>
  <c r="G77" i="4" s="1"/>
  <c r="F82" i="4"/>
  <c r="E82" i="4"/>
  <c r="L79" i="4"/>
  <c r="L77" i="4" s="1"/>
  <c r="K79" i="4"/>
  <c r="H79" i="4"/>
  <c r="H16" i="4" s="1"/>
  <c r="G79" i="4"/>
  <c r="F79" i="4"/>
  <c r="L78" i="4"/>
  <c r="D76" i="4"/>
  <c r="H75" i="4"/>
  <c r="H71" i="4" s="1"/>
  <c r="G75" i="4"/>
  <c r="F75" i="4"/>
  <c r="F71" i="4" s="1"/>
  <c r="E75" i="4"/>
  <c r="D75" i="4"/>
  <c r="D74" i="4"/>
  <c r="J73" i="4"/>
  <c r="J71" i="4" s="1"/>
  <c r="J24" i="4" s="1"/>
  <c r="J23" i="4" s="1"/>
  <c r="H73" i="4"/>
  <c r="G73" i="4"/>
  <c r="G71" i="4" s="1"/>
  <c r="F73" i="4"/>
  <c r="E73" i="4"/>
  <c r="D73" i="4" s="1"/>
  <c r="I72" i="4"/>
  <c r="H72" i="4"/>
  <c r="G72" i="4"/>
  <c r="F72" i="4"/>
  <c r="D72" i="4"/>
  <c r="L71" i="4"/>
  <c r="K71" i="4"/>
  <c r="I71" i="4"/>
  <c r="E71" i="4"/>
  <c r="D70" i="4"/>
  <c r="H69" i="4"/>
  <c r="D69" i="4"/>
  <c r="G68" i="4"/>
  <c r="D68" i="4"/>
  <c r="G67" i="4"/>
  <c r="D67" i="4"/>
  <c r="F66" i="4"/>
  <c r="D66" i="4"/>
  <c r="D65" i="4"/>
  <c r="E64" i="4"/>
  <c r="D64" i="4" s="1"/>
  <c r="D55" i="4" s="1"/>
  <c r="D25" i="4" s="1"/>
  <c r="E63" i="4"/>
  <c r="D63" i="4" s="1"/>
  <c r="H62" i="4"/>
  <c r="G62" i="4"/>
  <c r="F62" i="4"/>
  <c r="E61" i="4"/>
  <c r="D61" i="4"/>
  <c r="H60" i="4"/>
  <c r="G60" i="4"/>
  <c r="F60" i="4"/>
  <c r="E60" i="4"/>
  <c r="D60" i="4" s="1"/>
  <c r="J59" i="4"/>
  <c r="H59" i="4"/>
  <c r="G59" i="4"/>
  <c r="F59" i="4"/>
  <c r="D59" i="4"/>
  <c r="F58" i="4"/>
  <c r="D58" i="4"/>
  <c r="H57" i="4"/>
  <c r="G57" i="4"/>
  <c r="G56" i="4" s="1"/>
  <c r="G54" i="4" s="1"/>
  <c r="G53" i="4" s="1"/>
  <c r="F57" i="4"/>
  <c r="E57" i="4"/>
  <c r="D57" i="4" s="1"/>
  <c r="L56" i="4"/>
  <c r="L54" i="4" s="1"/>
  <c r="L24" i="4" s="1"/>
  <c r="K56" i="4"/>
  <c r="J56" i="4"/>
  <c r="I56" i="4"/>
  <c r="H56" i="4"/>
  <c r="H54" i="4" s="1"/>
  <c r="H53" i="4" s="1"/>
  <c r="F56" i="4"/>
  <c r="L55" i="4"/>
  <c r="K55" i="4"/>
  <c r="K53" i="4" s="1"/>
  <c r="J55" i="4"/>
  <c r="I55" i="4"/>
  <c r="I53" i="4" s="1"/>
  <c r="H55" i="4"/>
  <c r="G55" i="4"/>
  <c r="F55" i="4"/>
  <c r="E55" i="4"/>
  <c r="K54" i="4"/>
  <c r="J54" i="4"/>
  <c r="J53" i="4" s="1"/>
  <c r="I54" i="4"/>
  <c r="F54" i="4"/>
  <c r="F53" i="4" s="1"/>
  <c r="H52" i="4"/>
  <c r="D52" i="4"/>
  <c r="J51" i="4"/>
  <c r="H51" i="4"/>
  <c r="G51" i="4"/>
  <c r="F51" i="4"/>
  <c r="D51" i="4" s="1"/>
  <c r="E51" i="4"/>
  <c r="J50" i="4"/>
  <c r="H50" i="4"/>
  <c r="H49" i="4" s="1"/>
  <c r="G50" i="4"/>
  <c r="F50" i="4"/>
  <c r="F49" i="4" s="1"/>
  <c r="E50" i="4"/>
  <c r="D50" i="4"/>
  <c r="D49" i="4" s="1"/>
  <c r="L49" i="4"/>
  <c r="K49" i="4"/>
  <c r="J49" i="4"/>
  <c r="I49" i="4"/>
  <c r="G49" i="4"/>
  <c r="E49" i="4"/>
  <c r="D48" i="4"/>
  <c r="D47" i="4"/>
  <c r="D46" i="4"/>
  <c r="D45" i="4" s="1"/>
  <c r="L45" i="4"/>
  <c r="K45" i="4"/>
  <c r="J45" i="4"/>
  <c r="I45" i="4"/>
  <c r="H45" i="4"/>
  <c r="G45" i="4"/>
  <c r="F45" i="4"/>
  <c r="E45" i="4"/>
  <c r="H44" i="4"/>
  <c r="D44" i="4" s="1"/>
  <c r="H43" i="4"/>
  <c r="D43" i="4" s="1"/>
  <c r="D42" i="4"/>
  <c r="H41" i="4"/>
  <c r="G41" i="4"/>
  <c r="D41" i="4" s="1"/>
  <c r="G40" i="4"/>
  <c r="F40" i="4"/>
  <c r="D40" i="4"/>
  <c r="F39" i="4"/>
  <c r="D39" i="4"/>
  <c r="H38" i="4"/>
  <c r="G38" i="4"/>
  <c r="F38" i="4"/>
  <c r="E38" i="4"/>
  <c r="D38" i="4" s="1"/>
  <c r="E37" i="4"/>
  <c r="D37" i="4" s="1"/>
  <c r="F33" i="4"/>
  <c r="E33" i="4"/>
  <c r="D33" i="4"/>
  <c r="H32" i="4"/>
  <c r="G32" i="4"/>
  <c r="F32" i="4"/>
  <c r="E32" i="4"/>
  <c r="D32" i="4" s="1"/>
  <c r="G31" i="4"/>
  <c r="F31" i="4"/>
  <c r="D31" i="4"/>
  <c r="J30" i="4"/>
  <c r="H30" i="4"/>
  <c r="G30" i="4"/>
  <c r="F30" i="4"/>
  <c r="D30" i="4" s="1"/>
  <c r="H29" i="4"/>
  <c r="H27" i="4" s="1"/>
  <c r="G29" i="4"/>
  <c r="F29" i="4"/>
  <c r="D29" i="4" s="1"/>
  <c r="D28" i="4"/>
  <c r="L27" i="4"/>
  <c r="K27" i="4"/>
  <c r="K26" i="4" s="1"/>
  <c r="J27" i="4"/>
  <c r="I27" i="4"/>
  <c r="I24" i="4" s="1"/>
  <c r="G27" i="4"/>
  <c r="G26" i="4" s="1"/>
  <c r="L26" i="4"/>
  <c r="J26" i="4"/>
  <c r="L25" i="4"/>
  <c r="K25" i="4"/>
  <c r="J25" i="4"/>
  <c r="I25" i="4"/>
  <c r="I16" i="4" s="1"/>
  <c r="H25" i="4"/>
  <c r="G25" i="4"/>
  <c r="F25" i="4"/>
  <c r="E25" i="4"/>
  <c r="E16" i="4" s="1"/>
  <c r="J20" i="4"/>
  <c r="H20" i="4"/>
  <c r="G20" i="4"/>
  <c r="G17" i="4" s="1"/>
  <c r="F20" i="4"/>
  <c r="E20" i="4"/>
  <c r="D20" i="4" s="1"/>
  <c r="H18" i="4"/>
  <c r="G18" i="4"/>
  <c r="F18" i="4"/>
  <c r="D18" i="4" s="1"/>
  <c r="L17" i="4"/>
  <c r="K17" i="4"/>
  <c r="J17" i="4"/>
  <c r="J15" i="4" s="1"/>
  <c r="I17" i="4"/>
  <c r="H17" i="4"/>
  <c r="F17" i="4"/>
  <c r="K16" i="4"/>
  <c r="G16" i="4"/>
  <c r="F16" i="4"/>
  <c r="I23" i="4" l="1"/>
  <c r="I15" i="4"/>
  <c r="I14" i="4" s="1"/>
  <c r="L15" i="4"/>
  <c r="L23" i="4"/>
  <c r="K78" i="4"/>
  <c r="K77" i="4" s="1"/>
  <c r="D109" i="4"/>
  <c r="G15" i="4"/>
  <c r="G14" i="4" s="1"/>
  <c r="H26" i="4"/>
  <c r="H24" i="4"/>
  <c r="D27" i="4"/>
  <c r="D71" i="4"/>
  <c r="D94" i="4"/>
  <c r="D90" i="4" s="1"/>
  <c r="D78" i="4" s="1"/>
  <c r="D77" i="4" s="1"/>
  <c r="F78" i="4"/>
  <c r="F77" i="4" s="1"/>
  <c r="I77" i="4"/>
  <c r="D121" i="4"/>
  <c r="D79" i="4"/>
  <c r="L16" i="4"/>
  <c r="G24" i="4"/>
  <c r="G23" i="4" s="1"/>
  <c r="K24" i="4"/>
  <c r="I26" i="4"/>
  <c r="E56" i="4"/>
  <c r="E62" i="4"/>
  <c r="D62" i="4" s="1"/>
  <c r="H82" i="4"/>
  <c r="F91" i="4"/>
  <c r="H101" i="4"/>
  <c r="H90" i="4" s="1"/>
  <c r="F109" i="4"/>
  <c r="E27" i="4"/>
  <c r="J79" i="4"/>
  <c r="J16" i="4" s="1"/>
  <c r="J14" i="4" s="1"/>
  <c r="D99" i="4"/>
  <c r="D91" i="4" s="1"/>
  <c r="D102" i="4"/>
  <c r="D101" i="4" s="1"/>
  <c r="J121" i="4"/>
  <c r="E17" i="4"/>
  <c r="F27" i="4"/>
  <c r="E94" i="4"/>
  <c r="E90" i="4" s="1"/>
  <c r="E78" i="4" s="1"/>
  <c r="E77" i="4" s="1"/>
  <c r="M33" i="4"/>
  <c r="M32" i="4"/>
  <c r="M31" i="4"/>
  <c r="M30" i="4"/>
  <c r="M29" i="4"/>
  <c r="M28" i="4"/>
  <c r="M26" i="4"/>
  <c r="M25" i="4"/>
  <c r="M24" i="4"/>
  <c r="M23" i="4" s="1"/>
  <c r="E54" i="4" l="1"/>
  <c r="E53" i="4" s="1"/>
  <c r="D56" i="4"/>
  <c r="D54" i="4" s="1"/>
  <c r="D53" i="4" s="1"/>
  <c r="D26" i="4"/>
  <c r="D24" i="4"/>
  <c r="D23" i="4" s="1"/>
  <c r="L14" i="4"/>
  <c r="E24" i="4"/>
  <c r="E23" i="4" s="1"/>
  <c r="E26" i="4"/>
  <c r="H78" i="4"/>
  <c r="H77" i="4" s="1"/>
  <c r="K15" i="4"/>
  <c r="K14" i="4" s="1"/>
  <c r="K23" i="4"/>
  <c r="D16" i="4"/>
  <c r="F26" i="4"/>
  <c r="F24" i="4"/>
  <c r="D17" i="4"/>
  <c r="E15" i="4"/>
  <c r="J77" i="4"/>
  <c r="H23" i="4"/>
  <c r="M27" i="4"/>
  <c r="E14" i="4" l="1"/>
  <c r="H15" i="4"/>
  <c r="H14" i="4" s="1"/>
  <c r="F23" i="4"/>
  <c r="F15" i="4"/>
  <c r="F14" i="4" s="1"/>
  <c r="F22" i="5"/>
  <c r="D15" i="4" l="1"/>
  <c r="D14" i="4" s="1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<sst xmlns="http://schemas.openxmlformats.org/spreadsheetml/2006/main" count="434" uniqueCount="150">
  <si>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</si>
  <si>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</si>
  <si>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</si>
  <si>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</si>
  <si>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</si>
  <si>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</si>
  <si>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</si>
  <si>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</si>
  <si>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</si>
  <si>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</si>
  <si>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</si>
  <si>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</si>
  <si>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</si>
  <si>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</si>
  <si>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</si>
  <si>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</si>
  <si>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</si>
  <si>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</si>
  <si>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</si>
  <si>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</si>
  <si>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</si>
  <si>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</si>
  <si>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</si>
  <si>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</si>
  <si>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</si>
  <si>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</si>
  <si>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</si>
  <si>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</si>
  <si>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</si>
  <si>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</si>
  <si>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</si>
  <si>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</si>
  <si>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</si>
  <si>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</si>
  <si>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</si>
  <si>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</si>
  <si>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</si>
  <si>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</si>
  <si>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</si>
  <si>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</si>
  <si>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</si>
  <si>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</si>
  <si>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</si>
  <si>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</si>
  <si>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</si>
  <si>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</si>
  <si>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</si>
  <si>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</si>
  <si>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</si>
  <si>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</si>
  <si>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</si>
  <si>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</si>
  <si>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</si>
  <si>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</si>
  <si>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</si>
  <si>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</si>
  <si>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</si>
  <si>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</si>
  <si>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</si>
  <si>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</si>
  <si>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</si>
  <si>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</si>
  <si>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</si>
  <si>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</si>
  <si>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</si>
  <si>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</si>
  <si>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</si>
  <si>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</si>
  <si>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</si>
  <si>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</si>
  <si>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</si>
  <si>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</si>
  <si>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</si>
  <si>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</si>
  <si>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</si>
  <si>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</si>
  <si>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</si>
  <si>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</si>
  <si>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</si>
  <si>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</si>
  <si>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</si>
  <si>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</si>
  <si>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</si>
  <si>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</si>
  <si>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</si>
  <si>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</si>
  <si>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</si>
  <si>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</si>
  <si>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</si>
  <si>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</si>
  <si>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</si>
  <si>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</si>
  <si>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</si>
  <si>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</si>
  <si>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</si>
  <si>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</si>
  <si>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</si>
  <si>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</si>
  <si>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</si>
  <si>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</si>
  <si>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</si>
  <si>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</si>
  <si>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</si>
  <si>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</si>
  <si>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</si>
  <si>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</si>
  <si>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</si>
  <si>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</si>
  <si>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</si>
  <si>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</si>
  <si>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</si>
  <si>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</si>
  <si>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</si>
  <si>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</si>
  <si>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</si>
  <si>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</si>
  <si>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</si>
  <si>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</si>
  <si>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</si>
  <si>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</si>
  <si>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</si>
  <si>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</si>
  <si>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</si>
  <si>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</si>
  <si>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</si>
  <si>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</si>
  <si>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</si>
  <si>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</si>
  <si>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</si>
  <si>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</si>
  <si>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</si>
  <si>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</si>
  <si>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</si>
  <si>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</si>
  <si>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</si>
  <si>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</si>
  <si>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</si>
  <si>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</si>
  <si>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</si>
  <si>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</si>
  <si>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</si>
  <si>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</si>
  <si>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</si>
  <si>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</si>
  <si>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</si>
  <si>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</si>
  <si>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</si>
  <si>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</si>
  <si>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2</t>
  </si>
  <si>
    <t xml:space="preserve">                                       от 15.10.2024 г.  № 2992-па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</si>
</sst>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4" fontId="6" fillId="0" borderId="0" xfId="0" applyNumberFormat="1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32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zoomScale="68" zoomScaleNormal="68" zoomScaleSheetLayoutView="46" workbookViewId="0">
      <selection activeCell="J4" sqref="J4:L4"/>
    </sheetView>
  </sheetViews>
  <sheetFormatPr defaultColWidth="9.140625" defaultRowHeight="15" outlineLevelRow="1" x14ac:dyDescent="0.25"/>
  <cols>
    <col min="1" max="1" width="52.7109375" style="21" customWidth="1"/>
    <col min="2" max="2" width="31" style="22" customWidth="1"/>
    <col min="3" max="3" width="26.28515625" style="22" customWidth="1"/>
    <col min="4" max="4" width="26.28515625" style="23" customWidth="1"/>
    <col min="5" max="7" width="25.7109375" style="23" customWidth="1"/>
    <col min="8" max="8" width="25.140625" style="23" customWidth="1"/>
    <col min="9" max="10" width="25.7109375" style="23" customWidth="1"/>
    <col min="11" max="12" width="25.7109375" style="46" customWidth="1"/>
    <col min="13" max="14" width="9.140625" style="22"/>
    <col min="15" max="16" width="16.28515625" style="22" bestFit="1" customWidth="1"/>
    <col min="17" max="17" width="12" style="22" bestFit="1" customWidth="1"/>
    <col min="18" max="16384" width="9.140625" style="22"/>
  </cols>
  <sheetData>
    <row r="1" spans="1:12" ht="18.75" outlineLevel="1" x14ac:dyDescent="0.25">
      <c r="G1" s="25"/>
      <c r="H1" s="26"/>
      <c r="I1" s="26"/>
      <c r="J1" s="27"/>
      <c r="K1" s="28"/>
      <c r="L1" s="28" t="s">
        <v>148</v>
      </c>
    </row>
    <row r="2" spans="1:12" ht="18.75" outlineLevel="1" x14ac:dyDescent="0.25">
      <c r="G2" s="25"/>
      <c r="H2" s="26"/>
      <c r="I2" s="26"/>
      <c r="J2" s="94" t="s">
        <v>144</v>
      </c>
      <c r="K2" s="94"/>
      <c r="L2" s="94"/>
    </row>
    <row r="3" spans="1:12" ht="18.75" outlineLevel="1" x14ac:dyDescent="0.25">
      <c r="G3" s="25"/>
      <c r="H3" s="26"/>
      <c r="I3" s="26"/>
      <c r="J3" s="95" t="s">
        <v>149</v>
      </c>
      <c r="K3" s="95"/>
      <c r="L3" s="95"/>
    </row>
    <row r="4" spans="1:12" ht="18.75" outlineLevel="1" x14ac:dyDescent="0.3">
      <c r="G4" s="25"/>
      <c r="H4" s="27"/>
      <c r="I4" s="28"/>
      <c r="J4" s="96" t="s">
        <v>60</v>
      </c>
      <c r="K4" s="96"/>
      <c r="L4" s="96"/>
    </row>
    <row r="5" spans="1:12" ht="18.75" outlineLevel="1" x14ac:dyDescent="0.25">
      <c r="G5" s="25"/>
      <c r="H5" s="95" t="s">
        <v>59</v>
      </c>
      <c r="I5" s="95"/>
      <c r="J5" s="95"/>
      <c r="K5" s="95"/>
      <c r="L5" s="95"/>
    </row>
    <row r="6" spans="1:12" ht="18.75" outlineLevel="1" x14ac:dyDescent="0.25">
      <c r="G6" s="25"/>
      <c r="H6" s="95" t="s">
        <v>143</v>
      </c>
      <c r="I6" s="95"/>
      <c r="J6" s="95"/>
      <c r="K6" s="95"/>
      <c r="L6" s="95"/>
    </row>
    <row r="7" spans="1:12" ht="28.15" customHeight="1" outlineLevel="1" x14ac:dyDescent="0.25">
      <c r="G7" s="25"/>
      <c r="H7" s="24"/>
      <c r="I7" s="94"/>
      <c r="J7" s="94"/>
      <c r="K7" s="94"/>
      <c r="L7" s="94"/>
    </row>
    <row r="8" spans="1:12" ht="30" customHeight="1" x14ac:dyDescent="0.25">
      <c r="A8" s="97" t="s">
        <v>30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22"/>
    </row>
    <row r="9" spans="1:12" ht="30" customHeight="1" x14ac:dyDescent="0.25">
      <c r="A9" s="97" t="s">
        <v>61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22"/>
    </row>
    <row r="10" spans="1:12" ht="1.1499999999999999" customHeight="1" x14ac:dyDescent="0.25">
      <c r="G10" s="25"/>
      <c r="K10" s="29"/>
      <c r="L10" s="29"/>
    </row>
    <row r="11" spans="1:12" ht="48.75" customHeight="1" x14ac:dyDescent="0.25">
      <c r="A11" s="65" t="s">
        <v>32</v>
      </c>
      <c r="B11" s="70" t="s">
        <v>31</v>
      </c>
      <c r="C11" s="70" t="s">
        <v>0</v>
      </c>
      <c r="D11" s="75" t="s">
        <v>1</v>
      </c>
      <c r="E11" s="86" t="s">
        <v>28</v>
      </c>
      <c r="F11" s="86"/>
      <c r="G11" s="86"/>
      <c r="H11" s="86"/>
      <c r="I11" s="86"/>
      <c r="J11" s="86"/>
      <c r="K11" s="86"/>
      <c r="L11" s="86"/>
    </row>
    <row r="12" spans="1:12" ht="48.75" customHeight="1" x14ac:dyDescent="0.25">
      <c r="A12" s="66"/>
      <c r="B12" s="71"/>
      <c r="C12" s="71"/>
      <c r="D12" s="76"/>
      <c r="E12" s="73" t="s">
        <v>16</v>
      </c>
      <c r="F12" s="63" t="s">
        <v>15</v>
      </c>
      <c r="G12" s="61" t="s">
        <v>18</v>
      </c>
      <c r="H12" s="61" t="s">
        <v>19</v>
      </c>
      <c r="I12" s="61" t="s">
        <v>20</v>
      </c>
      <c r="J12" s="61" t="s">
        <v>21</v>
      </c>
      <c r="K12" s="68" t="s">
        <v>46</v>
      </c>
      <c r="L12" s="68" t="s">
        <v>53</v>
      </c>
    </row>
    <row r="13" spans="1:12" ht="41.45" customHeight="1" thickBot="1" x14ac:dyDescent="0.3">
      <c r="A13" s="67"/>
      <c r="B13" s="72"/>
      <c r="C13" s="72"/>
      <c r="D13" s="77"/>
      <c r="E13" s="74"/>
      <c r="F13" s="64"/>
      <c r="G13" s="62"/>
      <c r="H13" s="62"/>
      <c r="I13" s="62"/>
      <c r="J13" s="62"/>
      <c r="K13" s="69"/>
      <c r="L13" s="69"/>
    </row>
    <row r="14" spans="1:12" ht="39.75" customHeight="1" x14ac:dyDescent="0.3">
      <c r="A14" s="78" t="s">
        <v>58</v>
      </c>
      <c r="B14" s="98" t="s">
        <v>24</v>
      </c>
      <c r="C14" s="30" t="s">
        <v>17</v>
      </c>
      <c r="D14" s="18">
        <f>D15+D16</f>
        <v>2324620725.3200002</v>
      </c>
      <c r="E14" s="18">
        <f t="shared" ref="E14:L14" si="0">E15+E16</f>
        <v>179894561</v>
      </c>
      <c r="F14" s="18">
        <f t="shared" si="0"/>
        <v>232113667.27000004</v>
      </c>
      <c r="G14" s="18">
        <f t="shared" si="0"/>
        <v>275289307.80999994</v>
      </c>
      <c r="H14" s="18">
        <f t="shared" si="0"/>
        <v>303454821.01999998</v>
      </c>
      <c r="I14" s="18">
        <f t="shared" si="0"/>
        <v>367997227.05000001</v>
      </c>
      <c r="J14" s="18">
        <f t="shared" si="0"/>
        <v>368130564.44</v>
      </c>
      <c r="K14" s="18">
        <f t="shared" si="0"/>
        <v>296231032.75</v>
      </c>
      <c r="L14" s="18">
        <f t="shared" si="0"/>
        <v>301509543.98000002</v>
      </c>
    </row>
    <row r="15" spans="1:12" ht="39.75" customHeight="1" x14ac:dyDescent="0.25">
      <c r="A15" s="66"/>
      <c r="B15" s="71"/>
      <c r="C15" s="19" t="s">
        <v>6</v>
      </c>
      <c r="D15" s="18">
        <f t="shared" ref="D15:D17" si="1">SUM(E15:L15)</f>
        <v>2264051390.1300001</v>
      </c>
      <c r="E15" s="18">
        <f t="shared" ref="E15:L15" si="2">E17+E24+E78</f>
        <v>176322455.11000001</v>
      </c>
      <c r="F15" s="18">
        <f t="shared" si="2"/>
        <v>225291637.97000003</v>
      </c>
      <c r="G15" s="18">
        <f t="shared" si="2"/>
        <v>271052007.80999994</v>
      </c>
      <c r="H15" s="18">
        <f t="shared" si="2"/>
        <v>303454821.01999998</v>
      </c>
      <c r="I15" s="18">
        <f t="shared" si="2"/>
        <v>352059327.05000001</v>
      </c>
      <c r="J15" s="18">
        <f t="shared" si="2"/>
        <v>368130564.44</v>
      </c>
      <c r="K15" s="18">
        <f t="shared" si="2"/>
        <v>281231032.75</v>
      </c>
      <c r="L15" s="18">
        <f t="shared" si="2"/>
        <v>286509543.98000002</v>
      </c>
    </row>
    <row r="16" spans="1:12" ht="36" customHeight="1" x14ac:dyDescent="0.25">
      <c r="A16" s="79"/>
      <c r="B16" s="93"/>
      <c r="C16" s="19" t="s">
        <v>27</v>
      </c>
      <c r="D16" s="18">
        <f t="shared" si="1"/>
        <v>60569335.189999998</v>
      </c>
      <c r="E16" s="18">
        <f t="shared" ref="E16:L16" si="3">E25+E79</f>
        <v>3572105.89</v>
      </c>
      <c r="F16" s="18">
        <f t="shared" si="3"/>
        <v>6822029.2999999998</v>
      </c>
      <c r="G16" s="18">
        <f t="shared" si="3"/>
        <v>4237300</v>
      </c>
      <c r="H16" s="18">
        <f t="shared" si="3"/>
        <v>0</v>
      </c>
      <c r="I16" s="18">
        <f t="shared" si="3"/>
        <v>15937900</v>
      </c>
      <c r="J16" s="18">
        <f t="shared" si="3"/>
        <v>0</v>
      </c>
      <c r="K16" s="18">
        <f t="shared" si="3"/>
        <v>15000000</v>
      </c>
      <c r="L16" s="18">
        <f t="shared" si="3"/>
        <v>15000000</v>
      </c>
    </row>
    <row r="17" spans="1:15" s="33" customFormat="1" ht="83.25" customHeight="1" x14ac:dyDescent="0.25">
      <c r="A17" s="31" t="s">
        <v>57</v>
      </c>
      <c r="B17" s="32" t="s">
        <v>12</v>
      </c>
      <c r="C17" s="32" t="s">
        <v>6</v>
      </c>
      <c r="D17" s="18">
        <f t="shared" si="1"/>
        <v>129570499.49999999</v>
      </c>
      <c r="E17" s="18">
        <f t="shared" ref="E17:L17" si="4">E18+E20</f>
        <v>11125093.779999999</v>
      </c>
      <c r="F17" s="18">
        <f t="shared" si="4"/>
        <v>13072575.51</v>
      </c>
      <c r="G17" s="18">
        <f t="shared" si="4"/>
        <v>15272213.17</v>
      </c>
      <c r="H17" s="18">
        <f t="shared" si="4"/>
        <v>17812379.149999999</v>
      </c>
      <c r="I17" s="18">
        <f t="shared" si="4"/>
        <v>19233032.629999999</v>
      </c>
      <c r="J17" s="18">
        <f t="shared" si="4"/>
        <v>21300452.559999999</v>
      </c>
      <c r="K17" s="18">
        <f t="shared" si="4"/>
        <v>15877376.35</v>
      </c>
      <c r="L17" s="18">
        <f t="shared" si="4"/>
        <v>15877376.35</v>
      </c>
    </row>
    <row r="18" spans="1:15" ht="108" customHeight="1" x14ac:dyDescent="0.25">
      <c r="A18" s="13" t="s">
        <v>103</v>
      </c>
      <c r="B18" s="1" t="s">
        <v>12</v>
      </c>
      <c r="C18" s="1" t="s">
        <v>6</v>
      </c>
      <c r="D18" s="6">
        <f>E18+F18+G18+H18+I18+J18+K18+L18</f>
        <v>126417271.49999997</v>
      </c>
      <c r="E18" s="18">
        <v>11039960.58</v>
      </c>
      <c r="F18" s="6">
        <f>12734649.51+186313.35</f>
        <v>12920962.859999999</v>
      </c>
      <c r="G18" s="6">
        <f>12734649.51+2429860.25</f>
        <v>15164509.76</v>
      </c>
      <c r="H18" s="6">
        <f>15315461.54+1592673.91+325500</f>
        <v>17233635.449999999</v>
      </c>
      <c r="I18" s="6">
        <v>19063500.219999999</v>
      </c>
      <c r="J18" s="6">
        <v>21239949.93</v>
      </c>
      <c r="K18" s="6">
        <v>14877376.35</v>
      </c>
      <c r="L18" s="6">
        <v>14877376.35</v>
      </c>
      <c r="O18" s="34"/>
    </row>
    <row r="19" spans="1:15" ht="70.150000000000006" customHeight="1" x14ac:dyDescent="0.25">
      <c r="A19" s="13" t="s">
        <v>104</v>
      </c>
      <c r="B19" s="1" t="s">
        <v>12</v>
      </c>
      <c r="C19" s="1" t="s">
        <v>6</v>
      </c>
      <c r="D19" s="51" t="s">
        <v>7</v>
      </c>
      <c r="E19" s="51" t="s">
        <v>7</v>
      </c>
      <c r="F19" s="51" t="s">
        <v>7</v>
      </c>
      <c r="G19" s="51" t="s">
        <v>7</v>
      </c>
      <c r="H19" s="51" t="s">
        <v>7</v>
      </c>
      <c r="I19" s="51" t="s">
        <v>7</v>
      </c>
      <c r="J19" s="51" t="s">
        <v>7</v>
      </c>
      <c r="K19" s="4" t="s">
        <v>7</v>
      </c>
      <c r="L19" s="4" t="s">
        <v>7</v>
      </c>
    </row>
    <row r="20" spans="1:15" ht="87.75" customHeight="1" x14ac:dyDescent="0.25">
      <c r="A20" s="13" t="s">
        <v>105</v>
      </c>
      <c r="B20" s="1" t="s">
        <v>12</v>
      </c>
      <c r="C20" s="1" t="s">
        <v>6</v>
      </c>
      <c r="D20" s="6">
        <f>E20+F20+G20+H20+I20+J20+K20+L20</f>
        <v>3153228</v>
      </c>
      <c r="E20" s="6">
        <f>376122.2-140000-150989</f>
        <v>85133.200000000012</v>
      </c>
      <c r="F20" s="6">
        <f>506122.2-45000-128247.67-181261.88</f>
        <v>151612.65000000002</v>
      </c>
      <c r="G20" s="6">
        <f>450000+1388789.04-500000-232280-45573.33-220000-733232.3</f>
        <v>107703.40999999992</v>
      </c>
      <c r="H20" s="6">
        <f>948743.7-70000-300000</f>
        <v>578743.69999999995</v>
      </c>
      <c r="I20" s="6">
        <v>169532.41</v>
      </c>
      <c r="J20" s="6">
        <f>1000000-939497.37</f>
        <v>60502.630000000005</v>
      </c>
      <c r="K20" s="6">
        <v>1000000</v>
      </c>
      <c r="L20" s="6">
        <v>1000000</v>
      </c>
    </row>
    <row r="21" spans="1:15" ht="232.5" customHeight="1" x14ac:dyDescent="0.25">
      <c r="A21" s="13" t="s">
        <v>106</v>
      </c>
      <c r="B21" s="1" t="s">
        <v>25</v>
      </c>
      <c r="C21" s="1" t="s">
        <v>6</v>
      </c>
      <c r="D21" s="51" t="s">
        <v>7</v>
      </c>
      <c r="E21" s="51" t="s">
        <v>7</v>
      </c>
      <c r="F21" s="51" t="s">
        <v>7</v>
      </c>
      <c r="G21" s="51" t="s">
        <v>7</v>
      </c>
      <c r="H21" s="51" t="s">
        <v>7</v>
      </c>
      <c r="I21" s="51" t="s">
        <v>7</v>
      </c>
      <c r="J21" s="51" t="s">
        <v>7</v>
      </c>
      <c r="K21" s="4" t="s">
        <v>7</v>
      </c>
      <c r="L21" s="4" t="s">
        <v>7</v>
      </c>
    </row>
    <row r="22" spans="1:15" ht="82.5" customHeight="1" x14ac:dyDescent="0.25">
      <c r="A22" s="31" t="s">
        <v>54</v>
      </c>
      <c r="B22" s="32" t="s">
        <v>12</v>
      </c>
      <c r="C22" s="32" t="s">
        <v>6</v>
      </c>
      <c r="D22" s="51" t="s">
        <v>7</v>
      </c>
      <c r="E22" s="51" t="s">
        <v>7</v>
      </c>
      <c r="F22" s="51" t="s">
        <v>7</v>
      </c>
      <c r="G22" s="51" t="s">
        <v>7</v>
      </c>
      <c r="H22" s="51" t="s">
        <v>7</v>
      </c>
      <c r="I22" s="51" t="s">
        <v>7</v>
      </c>
      <c r="J22" s="51" t="s">
        <v>7</v>
      </c>
      <c r="K22" s="4" t="s">
        <v>7</v>
      </c>
      <c r="L22" s="4" t="s">
        <v>7</v>
      </c>
    </row>
    <row r="23" spans="1:15" ht="42" customHeight="1" x14ac:dyDescent="0.25">
      <c r="A23" s="65" t="s">
        <v>55</v>
      </c>
      <c r="B23" s="70" t="s">
        <v>5</v>
      </c>
      <c r="C23" s="19" t="s">
        <v>17</v>
      </c>
      <c r="D23" s="52">
        <f>D24+D25</f>
        <v>303211929.35000002</v>
      </c>
      <c r="E23" s="52">
        <f t="shared" ref="E23:F23" si="5">E24+E25</f>
        <v>25356368.810000002</v>
      </c>
      <c r="F23" s="52">
        <f t="shared" si="5"/>
        <v>29378541.989999998</v>
      </c>
      <c r="G23" s="52">
        <f>G24+G25</f>
        <v>30361534.209999997</v>
      </c>
      <c r="H23" s="52">
        <f t="shared" ref="H23:L23" si="6">H24+H25</f>
        <v>32051334.479999997</v>
      </c>
      <c r="I23" s="52">
        <f t="shared" si="6"/>
        <v>56728555.579999998</v>
      </c>
      <c r="J23" s="52">
        <f t="shared" si="6"/>
        <v>50683431.420000002</v>
      </c>
      <c r="K23" s="52">
        <f t="shared" si="6"/>
        <v>39326081.43</v>
      </c>
      <c r="L23" s="52">
        <f t="shared" si="6"/>
        <v>39326081.43</v>
      </c>
      <c r="M23" s="22">
        <f>M24+M25</f>
        <v>0</v>
      </c>
    </row>
    <row r="24" spans="1:15" s="33" customFormat="1" ht="42" customHeight="1" x14ac:dyDescent="0.25">
      <c r="A24" s="66"/>
      <c r="B24" s="71"/>
      <c r="C24" s="19" t="s">
        <v>6</v>
      </c>
      <c r="D24" s="52">
        <f>D27+D49+D54+D71</f>
        <v>288959823.46000004</v>
      </c>
      <c r="E24" s="52">
        <f t="shared" ref="E24:H24" si="7">E27+E49+E54+E71</f>
        <v>21784262.920000002</v>
      </c>
      <c r="F24" s="52">
        <f t="shared" si="7"/>
        <v>29378541.989999998</v>
      </c>
      <c r="G24" s="52">
        <f t="shared" si="7"/>
        <v>30361534.209999997</v>
      </c>
      <c r="H24" s="52">
        <f t="shared" si="7"/>
        <v>32051334.479999997</v>
      </c>
      <c r="I24" s="52">
        <f>I27+I49+I54+I71</f>
        <v>46048555.579999998</v>
      </c>
      <c r="J24" s="52">
        <f t="shared" ref="J24:L24" si="8">J27+J49+J54+J71</f>
        <v>50683431.420000002</v>
      </c>
      <c r="K24" s="52">
        <f t="shared" si="8"/>
        <v>39326081.43</v>
      </c>
      <c r="L24" s="52">
        <f t="shared" si="8"/>
        <v>39326081.43</v>
      </c>
      <c r="M24" s="33">
        <f t="shared" ref="M24" si="9">M26+M49+M54+M71</f>
        <v>0</v>
      </c>
    </row>
    <row r="25" spans="1:15" s="33" customFormat="1" ht="46.9" customHeight="1" x14ac:dyDescent="0.25">
      <c r="A25" s="79"/>
      <c r="B25" s="93"/>
      <c r="C25" s="19" t="s">
        <v>27</v>
      </c>
      <c r="D25" s="52">
        <f>D55+D47</f>
        <v>14252105.890000001</v>
      </c>
      <c r="E25" s="52">
        <f t="shared" ref="E25:L25" si="10">E55+E47</f>
        <v>3572105.89</v>
      </c>
      <c r="F25" s="52">
        <f t="shared" si="10"/>
        <v>0</v>
      </c>
      <c r="G25" s="52">
        <f t="shared" si="10"/>
        <v>0</v>
      </c>
      <c r="H25" s="52">
        <f t="shared" si="10"/>
        <v>0</v>
      </c>
      <c r="I25" s="52">
        <f t="shared" si="10"/>
        <v>10680000</v>
      </c>
      <c r="J25" s="52">
        <f t="shared" si="10"/>
        <v>0</v>
      </c>
      <c r="K25" s="52">
        <f t="shared" si="10"/>
        <v>0</v>
      </c>
      <c r="L25" s="52">
        <f t="shared" si="10"/>
        <v>0</v>
      </c>
      <c r="M25" s="33">
        <f>M55</f>
        <v>0</v>
      </c>
    </row>
    <row r="26" spans="1:15" ht="50.45" customHeight="1" x14ac:dyDescent="0.25">
      <c r="A26" s="80" t="s">
        <v>107</v>
      </c>
      <c r="B26" s="87" t="s">
        <v>5</v>
      </c>
      <c r="C26" s="1" t="s">
        <v>52</v>
      </c>
      <c r="D26" s="6">
        <f>D27+D28</f>
        <v>27808235.689999998</v>
      </c>
      <c r="E26" s="6">
        <f t="shared" ref="E26:L26" si="11">E27+E28</f>
        <v>702424.43</v>
      </c>
      <c r="F26" s="6">
        <f t="shared" si="11"/>
        <v>4166754.96</v>
      </c>
      <c r="G26" s="6">
        <f t="shared" si="11"/>
        <v>1862826.48</v>
      </c>
      <c r="H26" s="6">
        <f t="shared" si="11"/>
        <v>940010.91</v>
      </c>
      <c r="I26" s="49">
        <f t="shared" si="11"/>
        <v>13229222.43</v>
      </c>
      <c r="J26" s="49">
        <f t="shared" si="11"/>
        <v>5747532.4800000004</v>
      </c>
      <c r="K26" s="6">
        <f t="shared" si="11"/>
        <v>579732</v>
      </c>
      <c r="L26" s="6">
        <f t="shared" si="11"/>
        <v>579732</v>
      </c>
      <c r="M26" s="22">
        <f t="shared" ref="M26" si="12">SUM(N26:S26)</f>
        <v>0</v>
      </c>
    </row>
    <row r="27" spans="1:15" ht="34.9" customHeight="1" x14ac:dyDescent="0.25">
      <c r="A27" s="81"/>
      <c r="B27" s="88"/>
      <c r="C27" s="1" t="s">
        <v>6</v>
      </c>
      <c r="D27" s="6">
        <f>D29+D30+D31+D32+D33+D37+D38+D39+D40+D41+D42+D43+D44+D46+D48</f>
        <v>17128235.689999998</v>
      </c>
      <c r="E27" s="6">
        <f t="shared" ref="E27:L27" si="13">E29+E30+E31+E32+E33+E37+E38+E39+E40+E41+E42+E43+E44+E46+E48</f>
        <v>702424.43</v>
      </c>
      <c r="F27" s="6">
        <f t="shared" si="13"/>
        <v>4166754.96</v>
      </c>
      <c r="G27" s="6">
        <f t="shared" si="13"/>
        <v>1862826.48</v>
      </c>
      <c r="H27" s="6">
        <f t="shared" si="13"/>
        <v>940010.91</v>
      </c>
      <c r="I27" s="6">
        <f t="shared" si="13"/>
        <v>2549222.4299999997</v>
      </c>
      <c r="J27" s="6">
        <f t="shared" si="13"/>
        <v>5747532.4800000004</v>
      </c>
      <c r="K27" s="6">
        <f t="shared" si="13"/>
        <v>579732</v>
      </c>
      <c r="L27" s="6">
        <f t="shared" si="13"/>
        <v>579732</v>
      </c>
      <c r="M27" s="22">
        <f>M28+M29</f>
        <v>0</v>
      </c>
    </row>
    <row r="28" spans="1:15" ht="34.15" customHeight="1" x14ac:dyDescent="0.25">
      <c r="A28" s="82"/>
      <c r="B28" s="89"/>
      <c r="C28" s="1" t="s">
        <v>27</v>
      </c>
      <c r="D28" s="6">
        <f>E28+F28+G28+H28+I28+J28+K28+L28</f>
        <v>10680000</v>
      </c>
      <c r="E28" s="6">
        <v>0</v>
      </c>
      <c r="F28" s="6">
        <v>0</v>
      </c>
      <c r="G28" s="6">
        <v>0</v>
      </c>
      <c r="H28" s="6">
        <v>0</v>
      </c>
      <c r="I28" s="6">
        <v>10680000</v>
      </c>
      <c r="J28" s="6">
        <v>0</v>
      </c>
      <c r="K28" s="6">
        <v>0</v>
      </c>
      <c r="L28" s="6">
        <v>0</v>
      </c>
      <c r="M28" s="22">
        <f>M47</f>
        <v>0</v>
      </c>
    </row>
    <row r="29" spans="1:15" ht="122.45" customHeight="1" x14ac:dyDescent="0.25">
      <c r="A29" s="13" t="s">
        <v>108</v>
      </c>
      <c r="B29" s="1" t="s">
        <v>5</v>
      </c>
      <c r="C29" s="1" t="s">
        <v>6</v>
      </c>
      <c r="D29" s="6">
        <f>SUM(E29:L29)</f>
        <v>3270971.69</v>
      </c>
      <c r="E29" s="6">
        <v>324848.98</v>
      </c>
      <c r="F29" s="6">
        <f>214900+60000+47586.88</f>
        <v>322486.88</v>
      </c>
      <c r="G29" s="6">
        <f>231116.38+7120.72-2790-75276.13</f>
        <v>160170.97</v>
      </c>
      <c r="H29" s="6">
        <f>155834.14+6000+24000</f>
        <v>185834.14</v>
      </c>
      <c r="I29" s="6">
        <v>461011.32</v>
      </c>
      <c r="J29" s="6">
        <v>1312229.3999999999</v>
      </c>
      <c r="K29" s="6">
        <v>252195</v>
      </c>
      <c r="L29" s="6">
        <v>252195</v>
      </c>
      <c r="M29" s="22">
        <f t="shared" ref="M29:M33" si="14">SUM(N29:S29)</f>
        <v>0</v>
      </c>
    </row>
    <row r="30" spans="1:15" ht="85.5" customHeight="1" x14ac:dyDescent="0.25">
      <c r="A30" s="13" t="s">
        <v>109</v>
      </c>
      <c r="B30" s="1" t="s">
        <v>5</v>
      </c>
      <c r="C30" s="1" t="s">
        <v>6</v>
      </c>
      <c r="D30" s="6">
        <f>E30+F30+G30+H30+I30+J30+K30+L30</f>
        <v>1929516.4400000002</v>
      </c>
      <c r="E30" s="6">
        <v>254321.85</v>
      </c>
      <c r="F30" s="6">
        <f>207280-86220.48-25379.81</f>
        <v>95679.71</v>
      </c>
      <c r="G30" s="6">
        <f>233014+250000-130245.36+43265.36</f>
        <v>396034</v>
      </c>
      <c r="H30" s="6">
        <f>156629.7-15800.89+24480.96</f>
        <v>165309.76999999999</v>
      </c>
      <c r="I30" s="6">
        <v>256360.03</v>
      </c>
      <c r="J30" s="6">
        <f>147200+345300-25088.92</f>
        <v>467411.08</v>
      </c>
      <c r="K30" s="6">
        <v>147200</v>
      </c>
      <c r="L30" s="6">
        <v>147200</v>
      </c>
      <c r="M30" s="22">
        <f t="shared" si="14"/>
        <v>0</v>
      </c>
    </row>
    <row r="31" spans="1:15" ht="112.9" customHeight="1" x14ac:dyDescent="0.25">
      <c r="A31" s="13" t="s">
        <v>110</v>
      </c>
      <c r="B31" s="1" t="s">
        <v>5</v>
      </c>
      <c r="C31" s="1" t="s">
        <v>6</v>
      </c>
      <c r="D31" s="6">
        <f>SUM(E31:L31)</f>
        <v>721755</v>
      </c>
      <c r="E31" s="6">
        <v>0</v>
      </c>
      <c r="F31" s="6">
        <f>20000-19600</f>
        <v>400</v>
      </c>
      <c r="G31" s="6">
        <f>20000-20000</f>
        <v>0</v>
      </c>
      <c r="H31" s="6">
        <v>400</v>
      </c>
      <c r="I31" s="6">
        <v>0</v>
      </c>
      <c r="J31" s="6">
        <v>720955</v>
      </c>
      <c r="K31" s="6">
        <v>0</v>
      </c>
      <c r="L31" s="6">
        <v>0</v>
      </c>
      <c r="M31" s="22">
        <f t="shared" si="14"/>
        <v>0</v>
      </c>
    </row>
    <row r="32" spans="1:15" ht="76.900000000000006" customHeight="1" x14ac:dyDescent="0.25">
      <c r="A32" s="13" t="s">
        <v>111</v>
      </c>
      <c r="B32" s="1" t="s">
        <v>5</v>
      </c>
      <c r="C32" s="1" t="s">
        <v>6</v>
      </c>
      <c r="D32" s="6">
        <f>SUM(E32:L32)</f>
        <v>285430.8</v>
      </c>
      <c r="E32" s="6">
        <f>4000*26-28440-6129.2</f>
        <v>69430.8</v>
      </c>
      <c r="F32" s="6">
        <f>156000-116000</f>
        <v>40000</v>
      </c>
      <c r="G32" s="6">
        <f>95640.64-55640.64</f>
        <v>40000</v>
      </c>
      <c r="H32" s="6">
        <f>36000-10000</f>
        <v>26000</v>
      </c>
      <c r="I32" s="6">
        <v>20000</v>
      </c>
      <c r="J32" s="6">
        <v>30000</v>
      </c>
      <c r="K32" s="6">
        <v>30000</v>
      </c>
      <c r="L32" s="6">
        <v>30000</v>
      </c>
      <c r="M32" s="22">
        <f t="shared" si="14"/>
        <v>0</v>
      </c>
    </row>
    <row r="33" spans="1:13" ht="79.5" customHeight="1" x14ac:dyDescent="0.25">
      <c r="A33" s="13" t="s">
        <v>112</v>
      </c>
      <c r="B33" s="1" t="s">
        <v>5</v>
      </c>
      <c r="C33" s="1" t="s">
        <v>6</v>
      </c>
      <c r="D33" s="6">
        <f>SUM(E33:L33)</f>
        <v>0</v>
      </c>
      <c r="E33" s="6">
        <f>380462-380462</f>
        <v>0</v>
      </c>
      <c r="F33" s="6">
        <f>380462-380462</f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2">
        <f t="shared" si="14"/>
        <v>0</v>
      </c>
    </row>
    <row r="34" spans="1:13" ht="108" customHeight="1" x14ac:dyDescent="0.25">
      <c r="A34" s="13" t="s">
        <v>113</v>
      </c>
      <c r="B34" s="1" t="s">
        <v>5</v>
      </c>
      <c r="C34" s="1" t="s">
        <v>6</v>
      </c>
      <c r="D34" s="51" t="s">
        <v>7</v>
      </c>
      <c r="E34" s="51" t="s">
        <v>7</v>
      </c>
      <c r="F34" s="51" t="s">
        <v>7</v>
      </c>
      <c r="G34" s="51" t="s">
        <v>7</v>
      </c>
      <c r="H34" s="51" t="s">
        <v>7</v>
      </c>
      <c r="I34" s="51" t="s">
        <v>7</v>
      </c>
      <c r="J34" s="51" t="s">
        <v>7</v>
      </c>
      <c r="K34" s="4" t="s">
        <v>7</v>
      </c>
      <c r="L34" s="4" t="s">
        <v>7</v>
      </c>
    </row>
    <row r="35" spans="1:13" ht="158.25" customHeight="1" x14ac:dyDescent="0.25">
      <c r="A35" s="13" t="s">
        <v>114</v>
      </c>
      <c r="B35" s="1" t="s">
        <v>5</v>
      </c>
      <c r="C35" s="1" t="s">
        <v>6</v>
      </c>
      <c r="D35" s="51" t="s">
        <v>7</v>
      </c>
      <c r="E35" s="51" t="s">
        <v>7</v>
      </c>
      <c r="F35" s="51" t="s">
        <v>7</v>
      </c>
      <c r="G35" s="51" t="s">
        <v>7</v>
      </c>
      <c r="H35" s="51" t="s">
        <v>7</v>
      </c>
      <c r="I35" s="51" t="s">
        <v>7</v>
      </c>
      <c r="J35" s="51" t="s">
        <v>7</v>
      </c>
      <c r="K35" s="4" t="s">
        <v>7</v>
      </c>
      <c r="L35" s="4" t="s">
        <v>7</v>
      </c>
    </row>
    <row r="36" spans="1:13" ht="100.5" customHeight="1" x14ac:dyDescent="0.25">
      <c r="A36" s="3" t="s">
        <v>115</v>
      </c>
      <c r="B36" s="3" t="s">
        <v>5</v>
      </c>
      <c r="C36" s="3" t="s">
        <v>6</v>
      </c>
      <c r="D36" s="51" t="s">
        <v>7</v>
      </c>
      <c r="E36" s="51" t="s">
        <v>7</v>
      </c>
      <c r="F36" s="51" t="s">
        <v>7</v>
      </c>
      <c r="G36" s="51" t="s">
        <v>7</v>
      </c>
      <c r="H36" s="51" t="s">
        <v>7</v>
      </c>
      <c r="I36" s="51" t="s">
        <v>7</v>
      </c>
      <c r="J36" s="51" t="s">
        <v>7</v>
      </c>
      <c r="K36" s="4" t="s">
        <v>7</v>
      </c>
      <c r="L36" s="4" t="s">
        <v>7</v>
      </c>
    </row>
    <row r="37" spans="1:13" ht="85.5" customHeight="1" x14ac:dyDescent="0.25">
      <c r="A37" s="13" t="s">
        <v>116</v>
      </c>
      <c r="B37" s="1" t="s">
        <v>5</v>
      </c>
      <c r="C37" s="1" t="s">
        <v>6</v>
      </c>
      <c r="D37" s="6">
        <f t="shared" ref="D37" si="15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3" ht="76.5" customHeight="1" x14ac:dyDescent="0.25">
      <c r="A38" s="13" t="s">
        <v>117</v>
      </c>
      <c r="B38" s="1" t="s">
        <v>5</v>
      </c>
      <c r="C38" s="1" t="s">
        <v>6</v>
      </c>
      <c r="D38" s="6">
        <f t="shared" ref="D38:D42" si="16">SUM(E38:L38)</f>
        <v>1394690.34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">
        <v>210337</v>
      </c>
      <c r="K38" s="4">
        <v>150337</v>
      </c>
      <c r="L38" s="4">
        <v>150337</v>
      </c>
    </row>
    <row r="39" spans="1:13" ht="80.25" customHeight="1" x14ac:dyDescent="0.25">
      <c r="A39" s="13" t="s">
        <v>118</v>
      </c>
      <c r="B39" s="1" t="s">
        <v>5</v>
      </c>
      <c r="C39" s="1" t="s">
        <v>6</v>
      </c>
      <c r="D39" s="6">
        <f t="shared" si="16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3" ht="75" customHeight="1" x14ac:dyDescent="0.25">
      <c r="A40" s="13" t="s">
        <v>37</v>
      </c>
      <c r="B40" s="1" t="s">
        <v>5</v>
      </c>
      <c r="C40" s="1" t="s">
        <v>6</v>
      </c>
      <c r="D40" s="6">
        <f t="shared" si="16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8" customHeight="1" x14ac:dyDescent="0.25">
      <c r="A41" s="13" t="s">
        <v>38</v>
      </c>
      <c r="B41" s="1" t="s">
        <v>5</v>
      </c>
      <c r="C41" s="1" t="s">
        <v>6</v>
      </c>
      <c r="D41" s="6">
        <f t="shared" si="16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">
        <v>0</v>
      </c>
      <c r="K41" s="4">
        <v>0</v>
      </c>
      <c r="L41" s="4">
        <v>0</v>
      </c>
    </row>
    <row r="42" spans="1:13" ht="81.75" customHeight="1" x14ac:dyDescent="0.25">
      <c r="A42" s="13" t="s">
        <v>119</v>
      </c>
      <c r="B42" s="1" t="s">
        <v>29</v>
      </c>
      <c r="C42" s="1" t="s">
        <v>6</v>
      </c>
      <c r="D42" s="6">
        <f t="shared" si="16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">
        <v>125000</v>
      </c>
      <c r="K42" s="4">
        <v>0</v>
      </c>
      <c r="L42" s="4">
        <v>0</v>
      </c>
    </row>
    <row r="43" spans="1:13" ht="85.5" customHeight="1" x14ac:dyDescent="0.25">
      <c r="A43" s="13" t="s">
        <v>120</v>
      </c>
      <c r="B43" s="1" t="s">
        <v>5</v>
      </c>
      <c r="C43" s="1" t="s">
        <v>6</v>
      </c>
      <c r="D43" s="6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">
        <v>0</v>
      </c>
      <c r="K43" s="4">
        <v>0</v>
      </c>
      <c r="L43" s="4">
        <v>0</v>
      </c>
    </row>
    <row r="44" spans="1:13" ht="100.5" customHeight="1" x14ac:dyDescent="0.25">
      <c r="A44" s="13" t="s">
        <v>121</v>
      </c>
      <c r="B44" s="1" t="s">
        <v>5</v>
      </c>
      <c r="C44" s="1" t="s">
        <v>6</v>
      </c>
      <c r="D44" s="6">
        <f t="shared" ref="D44" si="17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">
        <v>0</v>
      </c>
      <c r="K44" s="4">
        <v>0</v>
      </c>
      <c r="L44" s="4">
        <v>0</v>
      </c>
    </row>
    <row r="45" spans="1:13" ht="46.9" customHeight="1" x14ac:dyDescent="0.25">
      <c r="A45" s="80" t="s">
        <v>122</v>
      </c>
      <c r="B45" s="87" t="s">
        <v>5</v>
      </c>
      <c r="C45" s="1" t="s">
        <v>17</v>
      </c>
      <c r="D45" s="6">
        <f>D46+D47</f>
        <v>12000000</v>
      </c>
      <c r="E45" s="4">
        <f t="shared" ref="E45:L45" si="18">E46+E47</f>
        <v>0</v>
      </c>
      <c r="F45" s="4">
        <f t="shared" si="18"/>
        <v>0</v>
      </c>
      <c r="G45" s="4">
        <f t="shared" si="18"/>
        <v>0</v>
      </c>
      <c r="H45" s="4">
        <f t="shared" si="18"/>
        <v>0</v>
      </c>
      <c r="I45" s="4">
        <f t="shared" si="18"/>
        <v>12000000</v>
      </c>
      <c r="J45" s="4">
        <f t="shared" si="18"/>
        <v>0</v>
      </c>
      <c r="K45" s="4">
        <f t="shared" si="18"/>
        <v>0</v>
      </c>
      <c r="L45" s="4">
        <f t="shared" si="18"/>
        <v>0</v>
      </c>
    </row>
    <row r="46" spans="1:13" ht="49.15" customHeight="1" x14ac:dyDescent="0.25">
      <c r="A46" s="81"/>
      <c r="B46" s="88"/>
      <c r="C46" s="1" t="s">
        <v>6</v>
      </c>
      <c r="D46" s="6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">
        <v>0</v>
      </c>
      <c r="K46" s="4">
        <v>0</v>
      </c>
      <c r="L46" s="4">
        <v>0</v>
      </c>
    </row>
    <row r="47" spans="1:13" ht="42.6" customHeight="1" x14ac:dyDescent="0.25">
      <c r="A47" s="82"/>
      <c r="B47" s="89"/>
      <c r="C47" s="1" t="s">
        <v>27</v>
      </c>
      <c r="D47" s="6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">
        <v>0</v>
      </c>
      <c r="K47" s="4">
        <v>0</v>
      </c>
      <c r="L47" s="4">
        <v>0</v>
      </c>
    </row>
    <row r="48" spans="1:13" ht="79.900000000000006" customHeight="1" x14ac:dyDescent="0.25">
      <c r="A48" s="36" t="s">
        <v>145</v>
      </c>
      <c r="B48" s="50" t="s">
        <v>5</v>
      </c>
      <c r="C48" s="1" t="s">
        <v>6</v>
      </c>
      <c r="D48" s="6">
        <f>SUM(E48:L48)</f>
        <v>2881600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2881600</v>
      </c>
      <c r="K48" s="4">
        <v>0</v>
      </c>
      <c r="L48" s="4">
        <v>0</v>
      </c>
    </row>
    <row r="49" spans="1:12" ht="78" customHeight="1" x14ac:dyDescent="0.25">
      <c r="A49" s="13" t="s">
        <v>123</v>
      </c>
      <c r="B49" s="1" t="s">
        <v>5</v>
      </c>
      <c r="C49" s="1" t="s">
        <v>17</v>
      </c>
      <c r="D49" s="6">
        <f>D50+D51+D52</f>
        <v>8588187.4800000004</v>
      </c>
      <c r="E49" s="6">
        <f t="shared" ref="E49:L49" si="19">E50+E51+E52</f>
        <v>1059883.27</v>
      </c>
      <c r="F49" s="6">
        <f t="shared" si="19"/>
        <v>526197.83000000031</v>
      </c>
      <c r="G49" s="6">
        <f t="shared" si="19"/>
        <v>438780.2300000001</v>
      </c>
      <c r="H49" s="6">
        <f t="shared" si="19"/>
        <v>1020305.34</v>
      </c>
      <c r="I49" s="49">
        <f t="shared" si="19"/>
        <v>1078556.44</v>
      </c>
      <c r="J49" s="6">
        <f t="shared" si="19"/>
        <v>1108770.3699999999</v>
      </c>
      <c r="K49" s="6">
        <f t="shared" si="19"/>
        <v>1677847</v>
      </c>
      <c r="L49" s="6">
        <f t="shared" si="19"/>
        <v>1677847</v>
      </c>
    </row>
    <row r="50" spans="1:12" ht="187.5" customHeight="1" x14ac:dyDescent="0.25">
      <c r="A50" s="13" t="s">
        <v>124</v>
      </c>
      <c r="B50" s="1" t="s">
        <v>5</v>
      </c>
      <c r="C50" s="1" t="s">
        <v>6</v>
      </c>
      <c r="D50" s="6">
        <f>SUM(E50:L50)</f>
        <v>7474352.7700000014</v>
      </c>
      <c r="E50" s="6">
        <f>996262.92+1269.19</f>
        <v>997532.11</v>
      </c>
      <c r="F50" s="6">
        <f>6504790-662550-442954.88-2794017-326435.51-916786.74-900000-343.48</f>
        <v>461702.39000000036</v>
      </c>
      <c r="G50" s="6">
        <f>1698511.84-1196110.71-104573.64</f>
        <v>397827.49000000011</v>
      </c>
      <c r="H50" s="6">
        <f>677713.89+996802.3-628000-356313.22+84705.88</f>
        <v>774908.85</v>
      </c>
      <c r="I50" s="6">
        <v>938474.74</v>
      </c>
      <c r="J50" s="6">
        <f>1484787-147300-375000-28153.81</f>
        <v>934333.19</v>
      </c>
      <c r="K50" s="6">
        <v>1484787</v>
      </c>
      <c r="L50" s="6">
        <v>1484787</v>
      </c>
    </row>
    <row r="51" spans="1:12" ht="84.75" customHeight="1" x14ac:dyDescent="0.25">
      <c r="A51" s="13" t="s">
        <v>125</v>
      </c>
      <c r="B51" s="1" t="s">
        <v>5</v>
      </c>
      <c r="C51" s="1" t="s">
        <v>6</v>
      </c>
      <c r="D51" s="6">
        <f t="shared" ref="D51:D52" si="20">SUM(E51:L51)</f>
        <v>1031414.69</v>
      </c>
      <c r="E51" s="6">
        <f>144500+8696.63-92528.6+1683.13</f>
        <v>62351.159999999996</v>
      </c>
      <c r="F51" s="6">
        <f>144500-36999.07-43005.49</f>
        <v>64495.439999999995</v>
      </c>
      <c r="G51" s="6">
        <f>143002.5-49808.56-52241.2</f>
        <v>40952.740000000005</v>
      </c>
      <c r="H51" s="6">
        <f>146886.4+40000+23832.31-47742.24</f>
        <v>162976.47</v>
      </c>
      <c r="I51" s="6">
        <v>140081.70000000001</v>
      </c>
      <c r="J51" s="6">
        <f>193060-18622.82</f>
        <v>174437.18</v>
      </c>
      <c r="K51" s="6">
        <v>193060</v>
      </c>
      <c r="L51" s="6">
        <v>193060</v>
      </c>
    </row>
    <row r="52" spans="1:12" ht="84.75" customHeight="1" thickBot="1" x14ac:dyDescent="0.3">
      <c r="A52" s="11" t="s">
        <v>126</v>
      </c>
      <c r="B52" s="11" t="s">
        <v>5</v>
      </c>
      <c r="C52" s="11" t="s">
        <v>6</v>
      </c>
      <c r="D52" s="6">
        <f t="shared" si="20"/>
        <v>82420.01999999999</v>
      </c>
      <c r="E52" s="6">
        <v>0</v>
      </c>
      <c r="F52" s="6">
        <v>0</v>
      </c>
      <c r="G52" s="6">
        <v>0</v>
      </c>
      <c r="H52" s="6">
        <f>283804.36-201384.34</f>
        <v>82420.01999999999</v>
      </c>
      <c r="I52" s="6">
        <v>0</v>
      </c>
      <c r="J52" s="6">
        <v>0</v>
      </c>
      <c r="K52" s="6">
        <v>0</v>
      </c>
      <c r="L52" s="6">
        <v>0</v>
      </c>
    </row>
    <row r="53" spans="1:12" ht="37.9" customHeight="1" x14ac:dyDescent="0.25">
      <c r="A53" s="81" t="s">
        <v>127</v>
      </c>
      <c r="B53" s="88" t="s">
        <v>5</v>
      </c>
      <c r="C53" s="20" t="s">
        <v>17</v>
      </c>
      <c r="D53" s="6">
        <f>D54+D55</f>
        <v>80617295.650000006</v>
      </c>
      <c r="E53" s="6">
        <f>E54+E55</f>
        <v>8929994.9000000004</v>
      </c>
      <c r="F53" s="6">
        <f>F54+F55</f>
        <v>5795806.9100000001</v>
      </c>
      <c r="G53" s="6">
        <f t="shared" ref="G53:K53" si="21">G54+G55</f>
        <v>4477014.1199999992</v>
      </c>
      <c r="H53" s="6">
        <f t="shared" si="21"/>
        <v>6186067.6600000001</v>
      </c>
      <c r="I53" s="49">
        <f t="shared" si="21"/>
        <v>14410955.48</v>
      </c>
      <c r="J53" s="6">
        <f t="shared" si="21"/>
        <v>11748500.26</v>
      </c>
      <c r="K53" s="6">
        <f t="shared" si="21"/>
        <v>14534478.16</v>
      </c>
      <c r="L53" s="6">
        <v>14534478.16</v>
      </c>
    </row>
    <row r="54" spans="1:12" ht="37.9" customHeight="1" x14ac:dyDescent="0.25">
      <c r="A54" s="81"/>
      <c r="B54" s="88"/>
      <c r="C54" s="20" t="s">
        <v>6</v>
      </c>
      <c r="D54" s="6">
        <f>D56+D59+D60+D61+D63+D65+D66+D67+D68+D69+D70</f>
        <v>77045189.760000005</v>
      </c>
      <c r="E54" s="6">
        <f t="shared" ref="E54:H54" si="22">E56+E59+E60+E61+E63+E65+E66+E67+E68+E69+E70</f>
        <v>5357889.01</v>
      </c>
      <c r="F54" s="6">
        <f t="shared" si="22"/>
        <v>5795806.9100000001</v>
      </c>
      <c r="G54" s="6">
        <f t="shared" si="22"/>
        <v>4477014.1199999992</v>
      </c>
      <c r="H54" s="6">
        <f t="shared" si="22"/>
        <v>6186067.6600000001</v>
      </c>
      <c r="I54" s="6">
        <f>I57+I59+I60+I68+I70</f>
        <v>14410955.48</v>
      </c>
      <c r="J54" s="6">
        <f t="shared" ref="J54:L54" si="23">J56+J59+J60+J61+J63+J65+J66+J67+J68+J69+J70</f>
        <v>11748500.26</v>
      </c>
      <c r="K54" s="6">
        <f t="shared" si="23"/>
        <v>14534478.16</v>
      </c>
      <c r="L54" s="6">
        <f t="shared" si="23"/>
        <v>14534478.16</v>
      </c>
    </row>
    <row r="55" spans="1:12" ht="37.9" customHeight="1" x14ac:dyDescent="0.25">
      <c r="A55" s="82"/>
      <c r="B55" s="89"/>
      <c r="C55" s="20" t="s">
        <v>27</v>
      </c>
      <c r="D55" s="6">
        <f>D64</f>
        <v>3572105.89</v>
      </c>
      <c r="E55" s="6">
        <f t="shared" ref="E55:L55" si="24">E64</f>
        <v>3572105.89</v>
      </c>
      <c r="F55" s="6">
        <f t="shared" si="24"/>
        <v>0</v>
      </c>
      <c r="G55" s="6">
        <f t="shared" si="24"/>
        <v>0</v>
      </c>
      <c r="H55" s="6">
        <f t="shared" si="24"/>
        <v>0</v>
      </c>
      <c r="I55" s="6">
        <f t="shared" si="24"/>
        <v>0</v>
      </c>
      <c r="J55" s="6">
        <f t="shared" si="24"/>
        <v>0</v>
      </c>
      <c r="K55" s="6">
        <f t="shared" si="24"/>
        <v>0</v>
      </c>
      <c r="L55" s="6">
        <f t="shared" si="24"/>
        <v>0</v>
      </c>
    </row>
    <row r="56" spans="1:12" ht="30" customHeight="1" x14ac:dyDescent="0.25">
      <c r="A56" s="80" t="s">
        <v>128</v>
      </c>
      <c r="B56" s="87" t="s">
        <v>5</v>
      </c>
      <c r="C56" s="1" t="s">
        <v>17</v>
      </c>
      <c r="D56" s="6">
        <f>SUM(E56:L56)</f>
        <v>33139456.629999999</v>
      </c>
      <c r="E56" s="6">
        <f>E57+E58</f>
        <v>2063208.5899999999</v>
      </c>
      <c r="F56" s="6">
        <f>F57+F58</f>
        <v>3330133.05</v>
      </c>
      <c r="G56" s="6">
        <f t="shared" ref="G56:L56" si="25">G57+G58</f>
        <v>1791035.1199999999</v>
      </c>
      <c r="H56" s="6">
        <f t="shared" si="25"/>
        <v>1762531.4400000002</v>
      </c>
      <c r="I56" s="6">
        <f t="shared" si="25"/>
        <v>7660805.2999999998</v>
      </c>
      <c r="J56" s="6">
        <f t="shared" si="25"/>
        <v>6066375.5499999998</v>
      </c>
      <c r="K56" s="6">
        <f t="shared" si="25"/>
        <v>5232683.79</v>
      </c>
      <c r="L56" s="6">
        <f t="shared" si="25"/>
        <v>5232683.79</v>
      </c>
    </row>
    <row r="57" spans="1:12" ht="36.6" customHeight="1" x14ac:dyDescent="0.25">
      <c r="A57" s="81"/>
      <c r="B57" s="89"/>
      <c r="C57" s="20" t="s">
        <v>6</v>
      </c>
      <c r="D57" s="6">
        <f t="shared" ref="D57:D64" si="26">SUM(E57:L57)</f>
        <v>31096018.41</v>
      </c>
      <c r="E57" s="6">
        <f>1407602.69+36457.68</f>
        <v>1444060.3699999999</v>
      </c>
      <c r="F57" s="6">
        <f>1189294.77+654400+610600-241628.45-262393.3-44429.97</f>
        <v>1905843.0499999998</v>
      </c>
      <c r="G57" s="6">
        <f>1422804.12+12721.7+29921.07+183905.38+151777.41-10094.56</f>
        <v>1791035.1199999999</v>
      </c>
      <c r="H57" s="6">
        <f>1439905.62+98000+150000+74625.82</f>
        <v>1762531.4400000002</v>
      </c>
      <c r="I57" s="6">
        <v>7660805.2999999998</v>
      </c>
      <c r="J57" s="6">
        <v>6066375.5499999998</v>
      </c>
      <c r="K57" s="6">
        <v>5232683.79</v>
      </c>
      <c r="L57" s="6">
        <v>5232683.79</v>
      </c>
    </row>
    <row r="58" spans="1:12" ht="57.75" customHeight="1" x14ac:dyDescent="0.25">
      <c r="A58" s="82"/>
      <c r="B58" s="1" t="s">
        <v>29</v>
      </c>
      <c r="C58" s="20" t="s">
        <v>6</v>
      </c>
      <c r="D58" s="6">
        <f t="shared" si="26"/>
        <v>2043438.22</v>
      </c>
      <c r="E58" s="6">
        <v>619148.22</v>
      </c>
      <c r="F58" s="6">
        <f>1636390-212100</f>
        <v>1424290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ht="84" customHeight="1" x14ac:dyDescent="0.25">
      <c r="A59" s="13" t="s">
        <v>129</v>
      </c>
      <c r="B59" s="1" t="s">
        <v>5</v>
      </c>
      <c r="C59" s="1" t="s">
        <v>6</v>
      </c>
      <c r="D59" s="6">
        <f t="shared" si="26"/>
        <v>2013046.1099999999</v>
      </c>
      <c r="E59" s="6">
        <v>662817.76</v>
      </c>
      <c r="F59" s="6">
        <f>239040-104370</f>
        <v>134670</v>
      </c>
      <c r="G59" s="6">
        <f>365850.6-172489.24</f>
        <v>193361.36</v>
      </c>
      <c r="H59" s="6">
        <f>304061.55-156550-38407.55</f>
        <v>109103.99999999999</v>
      </c>
      <c r="I59" s="6">
        <v>106251</v>
      </c>
      <c r="J59" s="6">
        <f>143947.33+375000</f>
        <v>518947.32999999996</v>
      </c>
      <c r="K59" s="6">
        <v>143947.32999999999</v>
      </c>
      <c r="L59" s="6">
        <v>143947.32999999999</v>
      </c>
    </row>
    <row r="60" spans="1:12" ht="73.5" customHeight="1" x14ac:dyDescent="0.25">
      <c r="A60" s="13" t="s">
        <v>130</v>
      </c>
      <c r="B60" s="1" t="s">
        <v>5</v>
      </c>
      <c r="C60" s="35" t="s">
        <v>6</v>
      </c>
      <c r="D60" s="6">
        <f t="shared" si="26"/>
        <v>26165306.009999998</v>
      </c>
      <c r="E60" s="6">
        <f>2091009.55-114910</f>
        <v>1976099.55</v>
      </c>
      <c r="F60" s="6">
        <f>2569100+8150-167645.12+233980-527422</f>
        <v>2116162.88</v>
      </c>
      <c r="G60" s="6">
        <f>3460473.36-512721.7-857000-211169.07-827971.54-151777.41</f>
        <v>899833.63999999955</v>
      </c>
      <c r="H60" s="6">
        <f>2076500.49-41.61</f>
        <v>2076458.88</v>
      </c>
      <c r="I60" s="6">
        <v>3797276.88</v>
      </c>
      <c r="J60" s="6">
        <v>3089011.46</v>
      </c>
      <c r="K60" s="6">
        <v>6105231.3600000003</v>
      </c>
      <c r="L60" s="6">
        <v>6105231.3600000003</v>
      </c>
    </row>
    <row r="61" spans="1:12" ht="82.5" customHeight="1" x14ac:dyDescent="0.25">
      <c r="A61" s="13" t="s">
        <v>131</v>
      </c>
      <c r="B61" s="1" t="s">
        <v>29</v>
      </c>
      <c r="C61" s="35" t="s">
        <v>6</v>
      </c>
      <c r="D61" s="6">
        <f t="shared" si="26"/>
        <v>122000</v>
      </c>
      <c r="E61" s="6">
        <f>120000+2000</f>
        <v>122000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38.85" customHeight="1" x14ac:dyDescent="0.25">
      <c r="A62" s="80" t="s">
        <v>132</v>
      </c>
      <c r="B62" s="87" t="s">
        <v>29</v>
      </c>
      <c r="C62" s="20" t="s">
        <v>17</v>
      </c>
      <c r="D62" s="6">
        <f t="shared" si="26"/>
        <v>4105869</v>
      </c>
      <c r="E62" s="6">
        <f>E63+E64</f>
        <v>4105869</v>
      </c>
      <c r="F62" s="6">
        <f>F63+F64</f>
        <v>0</v>
      </c>
      <c r="G62" s="6">
        <f t="shared" ref="G62:H62" si="27">G63+G64</f>
        <v>0</v>
      </c>
      <c r="H62" s="6">
        <f t="shared" si="27"/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25">
      <c r="A63" s="81"/>
      <c r="B63" s="88"/>
      <c r="C63" s="20" t="s">
        <v>6</v>
      </c>
      <c r="D63" s="6">
        <f t="shared" si="26"/>
        <v>533763.1100000001</v>
      </c>
      <c r="E63" s="6">
        <f>643500.17-109737.06</f>
        <v>533763.1100000001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25">
      <c r="A64" s="82"/>
      <c r="B64" s="89"/>
      <c r="C64" s="20" t="s">
        <v>27</v>
      </c>
      <c r="D64" s="6">
        <f t="shared" si="26"/>
        <v>3572105.89</v>
      </c>
      <c r="E64" s="6">
        <f>4306499.83-734393.94</f>
        <v>3572105.89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78" customHeight="1" x14ac:dyDescent="0.25">
      <c r="A65" s="36" t="s">
        <v>133</v>
      </c>
      <c r="B65" s="1" t="s">
        <v>5</v>
      </c>
      <c r="C65" s="35" t="s">
        <v>6</v>
      </c>
      <c r="D65" s="6">
        <f>SUM(E65:L65)</f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111.6" customHeight="1" x14ac:dyDescent="0.25">
      <c r="A66" s="36" t="s">
        <v>134</v>
      </c>
      <c r="B66" s="1" t="s">
        <v>5</v>
      </c>
      <c r="C66" s="35" t="s">
        <v>6</v>
      </c>
      <c r="D66" s="6">
        <f>SUM(E66:L66)</f>
        <v>214840.98</v>
      </c>
      <c r="E66" s="6">
        <v>0</v>
      </c>
      <c r="F66" s="6">
        <f>255403.79-40562.81</f>
        <v>214840.98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78.75" customHeight="1" x14ac:dyDescent="0.25">
      <c r="A67" s="36" t="s">
        <v>135</v>
      </c>
      <c r="B67" s="1" t="s">
        <v>5</v>
      </c>
      <c r="C67" s="35" t="s">
        <v>6</v>
      </c>
      <c r="D67" s="6">
        <f t="shared" ref="D67:D68" si="28">SUM(E67:L67)</f>
        <v>2086029.26</v>
      </c>
      <c r="E67" s="6">
        <v>0</v>
      </c>
      <c r="F67" s="6">
        <v>0</v>
      </c>
      <c r="G67" s="6">
        <f>787000+182120+96912</f>
        <v>1066032</v>
      </c>
      <c r="H67" s="6">
        <v>1019997.26</v>
      </c>
      <c r="I67" s="6">
        <v>0</v>
      </c>
      <c r="J67" s="6">
        <v>0</v>
      </c>
      <c r="K67" s="6">
        <v>0</v>
      </c>
      <c r="L67" s="6">
        <v>0</v>
      </c>
    </row>
    <row r="68" spans="1:12" ht="85.9" customHeight="1" x14ac:dyDescent="0.25">
      <c r="A68" s="36" t="s">
        <v>136</v>
      </c>
      <c r="B68" s="1" t="s">
        <v>5</v>
      </c>
      <c r="C68" s="1" t="s">
        <v>6</v>
      </c>
      <c r="D68" s="6">
        <f t="shared" si="28"/>
        <v>12313915.449999999</v>
      </c>
      <c r="E68" s="6">
        <v>0</v>
      </c>
      <c r="F68" s="6">
        <v>0</v>
      </c>
      <c r="G68" s="6">
        <f>181248+345504</f>
        <v>526752</v>
      </c>
      <c r="H68" s="6">
        <v>1140359.05</v>
      </c>
      <c r="I68" s="6">
        <v>2467407.12</v>
      </c>
      <c r="J68" s="6">
        <v>2074165.92</v>
      </c>
      <c r="K68" s="6">
        <v>3052615.6800000002</v>
      </c>
      <c r="L68" s="6">
        <v>3052615.6800000002</v>
      </c>
    </row>
    <row r="69" spans="1:12" ht="81" customHeight="1" x14ac:dyDescent="0.25">
      <c r="A69" s="36" t="s">
        <v>137</v>
      </c>
      <c r="B69" s="1" t="s">
        <v>5</v>
      </c>
      <c r="C69" s="1" t="s">
        <v>6</v>
      </c>
      <c r="D69" s="6">
        <f>SUM(E69:L69)</f>
        <v>77617.03</v>
      </c>
      <c r="E69" s="6">
        <v>0</v>
      </c>
      <c r="F69" s="6">
        <v>0</v>
      </c>
      <c r="G69" s="6">
        <v>0</v>
      </c>
      <c r="H69" s="6">
        <f>232712.63-155095.6</f>
        <v>77617.03</v>
      </c>
      <c r="I69" s="6">
        <v>0</v>
      </c>
      <c r="J69" s="6">
        <v>0</v>
      </c>
      <c r="K69" s="6">
        <v>0</v>
      </c>
      <c r="L69" s="6">
        <v>0</v>
      </c>
    </row>
    <row r="70" spans="1:12" ht="81" customHeight="1" x14ac:dyDescent="0.25">
      <c r="A70" s="36" t="s">
        <v>138</v>
      </c>
      <c r="B70" s="1" t="s">
        <v>5</v>
      </c>
      <c r="C70" s="1" t="s">
        <v>6</v>
      </c>
      <c r="D70" s="6">
        <f>SUM(E70:L70)</f>
        <v>379215.17999999993</v>
      </c>
      <c r="E70" s="6">
        <v>0</v>
      </c>
      <c r="F70" s="6">
        <v>0</v>
      </c>
      <c r="G70" s="6">
        <v>0</v>
      </c>
      <c r="H70" s="6">
        <v>0</v>
      </c>
      <c r="I70" s="6">
        <v>379215.17999999993</v>
      </c>
      <c r="J70" s="6">
        <v>0</v>
      </c>
      <c r="K70" s="6">
        <v>0</v>
      </c>
      <c r="L70" s="6">
        <v>0</v>
      </c>
    </row>
    <row r="71" spans="1:12" ht="76.5" customHeight="1" x14ac:dyDescent="0.25">
      <c r="A71" s="13" t="s">
        <v>139</v>
      </c>
      <c r="B71" s="1" t="s">
        <v>5</v>
      </c>
      <c r="C71" s="1" t="s">
        <v>6</v>
      </c>
      <c r="D71" s="6">
        <f>D72+D73+D74+D75+D76</f>
        <v>186198210.53000003</v>
      </c>
      <c r="E71" s="6">
        <f t="shared" ref="E71:L71" si="29">E72+E73+E74+E75+E76</f>
        <v>14664066.210000001</v>
      </c>
      <c r="F71" s="6">
        <f t="shared" si="29"/>
        <v>18889782.289999999</v>
      </c>
      <c r="G71" s="6">
        <f t="shared" si="29"/>
        <v>23582913.379999999</v>
      </c>
      <c r="H71" s="6">
        <f t="shared" si="29"/>
        <v>23904950.569999997</v>
      </c>
      <c r="I71" s="6">
        <f t="shared" si="29"/>
        <v>28009821.23</v>
      </c>
      <c r="J71" s="6">
        <f t="shared" si="29"/>
        <v>32078628.309999999</v>
      </c>
      <c r="K71" s="6">
        <f t="shared" si="29"/>
        <v>22534024.27</v>
      </c>
      <c r="L71" s="6">
        <f t="shared" si="29"/>
        <v>22534024.27</v>
      </c>
    </row>
    <row r="72" spans="1:12" ht="76.5" customHeight="1" x14ac:dyDescent="0.25">
      <c r="A72" s="13" t="s">
        <v>140</v>
      </c>
      <c r="B72" s="1" t="s">
        <v>5</v>
      </c>
      <c r="C72" s="1" t="s">
        <v>6</v>
      </c>
      <c r="D72" s="6">
        <f t="shared" ref="D72:D76" si="30">SUM(E72:L72)</f>
        <v>181279313.58000001</v>
      </c>
      <c r="E72" s="7">
        <v>13961599.640000001</v>
      </c>
      <c r="F72" s="7">
        <f>15858711.68+2834159.61-848074.53</f>
        <v>17844796.759999998</v>
      </c>
      <c r="G72" s="7">
        <f>18692871.29+4204727.08</f>
        <v>22897598.369999997</v>
      </c>
      <c r="H72" s="7">
        <f>23195853.08+27599.79+220464</f>
        <v>23443916.869999997</v>
      </c>
      <c r="I72" s="7">
        <f>27146574.09+581.43</f>
        <v>27147155.52</v>
      </c>
      <c r="J72" s="7">
        <v>31648261.879999999</v>
      </c>
      <c r="K72" s="7">
        <v>22167992.27</v>
      </c>
      <c r="L72" s="7">
        <v>22167992.27</v>
      </c>
    </row>
    <row r="73" spans="1:12" ht="73.5" customHeight="1" x14ac:dyDescent="0.25">
      <c r="A73" s="13" t="s">
        <v>141</v>
      </c>
      <c r="B73" s="1" t="s">
        <v>5</v>
      </c>
      <c r="C73" s="1" t="s">
        <v>6</v>
      </c>
      <c r="D73" s="6">
        <f t="shared" si="30"/>
        <v>2548602</v>
      </c>
      <c r="E73" s="7">
        <f>174486</f>
        <v>174486</v>
      </c>
      <c r="F73" s="7">
        <f>385900-12328</f>
        <v>373572</v>
      </c>
      <c r="G73" s="7">
        <f>297092-10100</f>
        <v>286992</v>
      </c>
      <c r="H73" s="7">
        <f>314434-3400</f>
        <v>311034</v>
      </c>
      <c r="I73" s="7">
        <v>330852</v>
      </c>
      <c r="J73" s="7">
        <f>366032-26430</f>
        <v>339602</v>
      </c>
      <c r="K73" s="7">
        <v>366032</v>
      </c>
      <c r="L73" s="7">
        <v>366032</v>
      </c>
    </row>
    <row r="74" spans="1:12" ht="90.75" customHeight="1" x14ac:dyDescent="0.25">
      <c r="A74" s="13" t="s">
        <v>142</v>
      </c>
      <c r="B74" s="1" t="s">
        <v>5</v>
      </c>
      <c r="C74" s="1" t="s">
        <v>6</v>
      </c>
      <c r="D74" s="7">
        <f t="shared" si="30"/>
        <v>5600</v>
      </c>
      <c r="E74" s="7">
        <v>0</v>
      </c>
      <c r="F74" s="7">
        <v>5600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ht="96.75" customHeight="1" x14ac:dyDescent="0.25">
      <c r="A75" s="13" t="s">
        <v>68</v>
      </c>
      <c r="B75" s="1" t="s">
        <v>5</v>
      </c>
      <c r="C75" s="1" t="s">
        <v>6</v>
      </c>
      <c r="D75" s="7">
        <f t="shared" si="30"/>
        <v>2273930.52</v>
      </c>
      <c r="E75" s="7">
        <f>452480.57+75500</f>
        <v>527980.57000000007</v>
      </c>
      <c r="F75" s="7">
        <f>145000+557910.85-37097.32</f>
        <v>665813.53</v>
      </c>
      <c r="G75" s="7">
        <f>0+300000+102008.17-3685.16</f>
        <v>398323.01</v>
      </c>
      <c r="H75" s="7">
        <f>9999.7+140000</f>
        <v>149999.70000000001</v>
      </c>
      <c r="I75" s="7">
        <v>531813.71</v>
      </c>
      <c r="J75" s="7">
        <v>0</v>
      </c>
      <c r="K75" s="7">
        <v>0</v>
      </c>
      <c r="L75" s="7">
        <v>0</v>
      </c>
    </row>
    <row r="76" spans="1:12" ht="96.75" customHeight="1" x14ac:dyDescent="0.25">
      <c r="A76" s="14" t="s">
        <v>69</v>
      </c>
      <c r="B76" s="1" t="s">
        <v>5</v>
      </c>
      <c r="C76" s="1" t="s">
        <v>6</v>
      </c>
      <c r="D76" s="7">
        <f t="shared" si="30"/>
        <v>90764.43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90764.43</v>
      </c>
      <c r="K76" s="7">
        <v>0</v>
      </c>
      <c r="L76" s="7">
        <v>0</v>
      </c>
    </row>
    <row r="77" spans="1:12" ht="38.85" customHeight="1" x14ac:dyDescent="0.25">
      <c r="A77" s="65" t="s">
        <v>56</v>
      </c>
      <c r="B77" s="70" t="s">
        <v>26</v>
      </c>
      <c r="C77" s="32" t="s">
        <v>17</v>
      </c>
      <c r="D77" s="18">
        <f>D78+D79</f>
        <v>1891838296.47</v>
      </c>
      <c r="E77" s="18">
        <f t="shared" ref="E77:L77" si="31">E78+E79</f>
        <v>143413098.41</v>
      </c>
      <c r="F77" s="18">
        <f t="shared" si="31"/>
        <v>189662549.77000004</v>
      </c>
      <c r="G77" s="18">
        <f t="shared" si="31"/>
        <v>229655560.42999998</v>
      </c>
      <c r="H77" s="18">
        <f t="shared" si="31"/>
        <v>253591107.39000002</v>
      </c>
      <c r="I77" s="18">
        <f t="shared" si="31"/>
        <v>292035638.84000003</v>
      </c>
      <c r="J77" s="18">
        <f t="shared" si="31"/>
        <v>296146680.45999998</v>
      </c>
      <c r="K77" s="18">
        <f t="shared" si="31"/>
        <v>241027574.97</v>
      </c>
      <c r="L77" s="18">
        <f t="shared" si="31"/>
        <v>246306086.20000002</v>
      </c>
    </row>
    <row r="78" spans="1:12" ht="38.85" customHeight="1" x14ac:dyDescent="0.25">
      <c r="A78" s="66"/>
      <c r="B78" s="71"/>
      <c r="C78" s="20" t="s">
        <v>6</v>
      </c>
      <c r="D78" s="18">
        <f>D82+D90+D109+D114+D115+D116+D117+D118+D119+D120+D122+D124+D127+D140+D141+D144+D125+D145+D146+D147+D148</f>
        <v>1845521067.1700001</v>
      </c>
      <c r="E78" s="18">
        <f t="shared" ref="E78:I78" si="32">E82+E90+E109+E114+E115+E116+E117+E118+E119+E120+E122+E124+E127+E140+E141+E144+E125+E145+E146</f>
        <v>143413098.41</v>
      </c>
      <c r="F78" s="18">
        <f t="shared" si="32"/>
        <v>182840520.47000003</v>
      </c>
      <c r="G78" s="18">
        <f t="shared" si="32"/>
        <v>225418260.42999998</v>
      </c>
      <c r="H78" s="18">
        <f t="shared" si="32"/>
        <v>253591107.39000002</v>
      </c>
      <c r="I78" s="18">
        <f t="shared" si="32"/>
        <v>286777738.84000003</v>
      </c>
      <c r="J78" s="18">
        <f>J82+J90+J109+J114+J115+J116+J117+J118+J119+J120+J122+J124+J127+J140+J141+J144+J125+J145+J146+J147+J148</f>
        <v>296146680.45999998</v>
      </c>
      <c r="K78" s="18">
        <f t="shared" ref="K78:L78" si="33">K82+K90+K109+K114+K115+K116+K117+K118+K119+K120+K122+K124+K127+K140+K141+K144+K125+K145+K146+K147+K148</f>
        <v>226027574.97</v>
      </c>
      <c r="L78" s="18">
        <f t="shared" si="33"/>
        <v>231306086.20000002</v>
      </c>
    </row>
    <row r="79" spans="1:12" ht="38.85" customHeight="1" x14ac:dyDescent="0.25">
      <c r="A79" s="79"/>
      <c r="B79" s="93"/>
      <c r="C79" s="20" t="s">
        <v>27</v>
      </c>
      <c r="D79" s="18">
        <f>D123+D128+D129</f>
        <v>46317229.299999997</v>
      </c>
      <c r="E79" s="18">
        <f t="shared" ref="E79:L79" si="34">E123+E128+E129</f>
        <v>0</v>
      </c>
      <c r="F79" s="18">
        <f t="shared" si="34"/>
        <v>6822029.2999999998</v>
      </c>
      <c r="G79" s="18">
        <f t="shared" si="34"/>
        <v>4237300</v>
      </c>
      <c r="H79" s="18">
        <f t="shared" si="34"/>
        <v>0</v>
      </c>
      <c r="I79" s="18">
        <f t="shared" si="34"/>
        <v>5257900</v>
      </c>
      <c r="J79" s="18">
        <f t="shared" si="34"/>
        <v>0</v>
      </c>
      <c r="K79" s="18">
        <f t="shared" si="34"/>
        <v>15000000</v>
      </c>
      <c r="L79" s="18">
        <f t="shared" si="34"/>
        <v>15000000</v>
      </c>
    </row>
    <row r="80" spans="1:12" ht="82.5" customHeight="1" x14ac:dyDescent="0.25">
      <c r="A80" s="13" t="s">
        <v>70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" t="s">
        <v>7</v>
      </c>
      <c r="K80" s="4" t="s">
        <v>7</v>
      </c>
      <c r="L80" s="4" t="s">
        <v>7</v>
      </c>
    </row>
    <row r="81" spans="1:16" ht="104.25" customHeight="1" x14ac:dyDescent="0.25">
      <c r="A81" s="14" t="s">
        <v>71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15.5" customHeight="1" x14ac:dyDescent="0.25">
      <c r="A82" s="15" t="s">
        <v>72</v>
      </c>
      <c r="B82" s="1" t="s">
        <v>14</v>
      </c>
      <c r="C82" s="1" t="s">
        <v>17</v>
      </c>
      <c r="D82" s="8">
        <f>SUM(D83:D89)</f>
        <v>68800148</v>
      </c>
      <c r="E82" s="8">
        <f t="shared" ref="E82:L82" si="35">SUM(E83:E89)</f>
        <v>5475970</v>
      </c>
      <c r="F82" s="8">
        <f t="shared" si="35"/>
        <v>7867873</v>
      </c>
      <c r="G82" s="8">
        <f t="shared" si="35"/>
        <v>20110170</v>
      </c>
      <c r="H82" s="8">
        <f t="shared" si="35"/>
        <v>7765135</v>
      </c>
      <c r="I82" s="53">
        <f t="shared" si="35"/>
        <v>13392550</v>
      </c>
      <c r="J82" s="8">
        <f t="shared" si="35"/>
        <v>7688450</v>
      </c>
      <c r="K82" s="8">
        <f t="shared" si="35"/>
        <v>2500000</v>
      </c>
      <c r="L82" s="8">
        <f t="shared" si="35"/>
        <v>4000000</v>
      </c>
    </row>
    <row r="83" spans="1:16" ht="85.5" customHeight="1" x14ac:dyDescent="0.25">
      <c r="A83" s="14" t="s">
        <v>73</v>
      </c>
      <c r="B83" s="1" t="s">
        <v>14</v>
      </c>
      <c r="C83" s="1" t="s">
        <v>6</v>
      </c>
      <c r="D83" s="8">
        <f>SUM(E83:L83)</f>
        <v>45118060</v>
      </c>
      <c r="E83" s="8">
        <v>3130970</v>
      </c>
      <c r="F83" s="8">
        <f>2525970-299000+3300000+2299000+41903</f>
        <v>7867873</v>
      </c>
      <c r="G83" s="8">
        <f>4810170+6000000+9300000</f>
        <v>20110170</v>
      </c>
      <c r="H83" s="8">
        <f>4444135-600000+234412</f>
        <v>4078547</v>
      </c>
      <c r="I83" s="8">
        <v>3071300</v>
      </c>
      <c r="J83" s="8">
        <f>2859200+1600000</f>
        <v>4459200</v>
      </c>
      <c r="K83" s="8">
        <v>900000</v>
      </c>
      <c r="L83" s="8">
        <v>1500000</v>
      </c>
    </row>
    <row r="84" spans="1:16" ht="109.15" customHeight="1" x14ac:dyDescent="0.25">
      <c r="A84" s="15" t="s">
        <v>74</v>
      </c>
      <c r="B84" s="1" t="s">
        <v>50</v>
      </c>
      <c r="C84" s="1" t="s">
        <v>6</v>
      </c>
      <c r="D84" s="8">
        <f t="shared" ref="D84:D89" si="36">SUM(E84:L84)</f>
        <v>2997000</v>
      </c>
      <c r="E84" s="8">
        <v>0</v>
      </c>
      <c r="F84" s="8">
        <v>0</v>
      </c>
      <c r="G84" s="8">
        <v>0</v>
      </c>
      <c r="H84" s="8">
        <v>0</v>
      </c>
      <c r="I84" s="8">
        <v>2997000</v>
      </c>
      <c r="J84" s="8">
        <v>0</v>
      </c>
      <c r="K84" s="8">
        <v>0</v>
      </c>
      <c r="L84" s="8">
        <v>0</v>
      </c>
    </row>
    <row r="85" spans="1:16" ht="228" customHeight="1" x14ac:dyDescent="0.25">
      <c r="A85" s="15" t="s">
        <v>75</v>
      </c>
      <c r="B85" s="1" t="s">
        <v>51</v>
      </c>
      <c r="C85" s="1" t="s">
        <v>6</v>
      </c>
      <c r="D85" s="8">
        <f t="shared" si="36"/>
        <v>4178500</v>
      </c>
      <c r="E85" s="8">
        <v>0</v>
      </c>
      <c r="F85" s="8">
        <v>0</v>
      </c>
      <c r="G85" s="8">
        <v>0</v>
      </c>
      <c r="H85" s="8">
        <v>0</v>
      </c>
      <c r="I85" s="8">
        <v>2089250</v>
      </c>
      <c r="J85" s="8">
        <v>2089250</v>
      </c>
      <c r="K85" s="8">
        <v>0</v>
      </c>
      <c r="L85" s="8">
        <v>0</v>
      </c>
      <c r="P85" s="34"/>
    </row>
    <row r="86" spans="1:16" ht="119.25" customHeight="1" x14ac:dyDescent="0.25">
      <c r="A86" s="15" t="s">
        <v>76</v>
      </c>
      <c r="B86" s="1" t="s">
        <v>14</v>
      </c>
      <c r="C86" s="1" t="s">
        <v>6</v>
      </c>
      <c r="D86" s="8">
        <f t="shared" si="36"/>
        <v>301588</v>
      </c>
      <c r="E86" s="8">
        <v>0</v>
      </c>
      <c r="F86" s="8">
        <v>0</v>
      </c>
      <c r="G86" s="8">
        <v>0</v>
      </c>
      <c r="H86" s="8">
        <f>600000-298412</f>
        <v>301588</v>
      </c>
      <c r="I86" s="8">
        <v>0</v>
      </c>
      <c r="J86" s="8">
        <v>0</v>
      </c>
      <c r="K86" s="8">
        <v>0</v>
      </c>
      <c r="L86" s="8">
        <v>0</v>
      </c>
    </row>
    <row r="87" spans="1:16" ht="119.25" customHeight="1" x14ac:dyDescent="0.25">
      <c r="A87" s="15" t="s">
        <v>77</v>
      </c>
      <c r="B87" s="1" t="s">
        <v>14</v>
      </c>
      <c r="C87" s="1" t="s">
        <v>6</v>
      </c>
      <c r="D87" s="8">
        <f t="shared" si="36"/>
        <v>95000</v>
      </c>
      <c r="E87" s="8">
        <v>95000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6" ht="96.75" customHeight="1" x14ac:dyDescent="0.25">
      <c r="A88" s="14" t="s">
        <v>78</v>
      </c>
      <c r="B88" s="1" t="s">
        <v>14</v>
      </c>
      <c r="C88" s="1" t="s">
        <v>6</v>
      </c>
      <c r="D88" s="8">
        <f t="shared" si="36"/>
        <v>9340000</v>
      </c>
      <c r="E88" s="8">
        <v>2250000</v>
      </c>
      <c r="F88" s="8">
        <f>299000-299000</f>
        <v>0</v>
      </c>
      <c r="G88" s="8">
        <f>1500000-1500000</f>
        <v>0</v>
      </c>
      <c r="H88" s="8">
        <v>0</v>
      </c>
      <c r="I88" s="8">
        <v>1850000</v>
      </c>
      <c r="J88" s="8">
        <f>1600000-800-459200</f>
        <v>1140000</v>
      </c>
      <c r="K88" s="8">
        <v>1600000</v>
      </c>
      <c r="L88" s="8">
        <v>2500000</v>
      </c>
    </row>
    <row r="89" spans="1:16" ht="96.75" customHeight="1" x14ac:dyDescent="0.25">
      <c r="A89" s="14" t="s">
        <v>79</v>
      </c>
      <c r="B89" s="1" t="s">
        <v>44</v>
      </c>
      <c r="C89" s="1" t="s">
        <v>6</v>
      </c>
      <c r="D89" s="8">
        <f t="shared" si="36"/>
        <v>6770000</v>
      </c>
      <c r="E89" s="8">
        <v>0</v>
      </c>
      <c r="F89" s="8">
        <v>0</v>
      </c>
      <c r="G89" s="8">
        <v>0</v>
      </c>
      <c r="H89" s="8">
        <f>4503600-1118600</f>
        <v>3385000</v>
      </c>
      <c r="I89" s="8">
        <v>3385000</v>
      </c>
      <c r="J89" s="8">
        <v>0</v>
      </c>
      <c r="K89" s="8">
        <v>0</v>
      </c>
      <c r="L89" s="8">
        <v>0</v>
      </c>
    </row>
    <row r="90" spans="1:16" ht="110.25" customHeight="1" x14ac:dyDescent="0.25">
      <c r="A90" s="65" t="s">
        <v>80</v>
      </c>
      <c r="B90" s="1" t="s">
        <v>10</v>
      </c>
      <c r="C90" s="1" t="s">
        <v>17</v>
      </c>
      <c r="D90" s="7">
        <f>D94+D98+D101+D104+D107+D108</f>
        <v>11280889.08</v>
      </c>
      <c r="E90" s="7">
        <f t="shared" ref="E90:L90" si="37">E94+E98+E101+E104+E107+E108</f>
        <v>1914038.92</v>
      </c>
      <c r="F90" s="7">
        <f t="shared" si="37"/>
        <v>1313129.8</v>
      </c>
      <c r="G90" s="7">
        <f t="shared" si="37"/>
        <v>1409509.6</v>
      </c>
      <c r="H90" s="7">
        <f t="shared" si="37"/>
        <v>1301702.3400000001</v>
      </c>
      <c r="I90" s="7">
        <f t="shared" si="37"/>
        <v>1376425.02</v>
      </c>
      <c r="J90" s="7">
        <f t="shared" si="37"/>
        <v>1046273.4</v>
      </c>
      <c r="K90" s="7">
        <f t="shared" si="37"/>
        <v>1459905</v>
      </c>
      <c r="L90" s="7">
        <f t="shared" si="37"/>
        <v>1459905</v>
      </c>
    </row>
    <row r="91" spans="1:16" ht="20.100000000000001" customHeight="1" x14ac:dyDescent="0.3">
      <c r="A91" s="66"/>
      <c r="B91" s="37" t="s">
        <v>2</v>
      </c>
      <c r="C91" s="1" t="s">
        <v>6</v>
      </c>
      <c r="D91" s="7">
        <f>D95+D99+D102+D105+D107+D108</f>
        <v>8792473.2699999996</v>
      </c>
      <c r="E91" s="7">
        <f>E95+E99+E102+E105+E107</f>
        <v>1629873.92</v>
      </c>
      <c r="F91" s="7">
        <f t="shared" ref="F91:H91" si="38">F95+F99+F102+F105+F107</f>
        <v>1087434.8</v>
      </c>
      <c r="G91" s="7">
        <f t="shared" si="38"/>
        <v>1183814.6000000001</v>
      </c>
      <c r="H91" s="7">
        <f t="shared" si="38"/>
        <v>1076007.3400000001</v>
      </c>
      <c r="I91" s="7">
        <v>1067187.6099999999</v>
      </c>
      <c r="J91" s="7">
        <v>645965</v>
      </c>
      <c r="K91" s="7">
        <v>1051105</v>
      </c>
      <c r="L91" s="7">
        <v>1051105</v>
      </c>
    </row>
    <row r="92" spans="1:16" ht="19.5" customHeight="1" x14ac:dyDescent="0.3">
      <c r="A92" s="66"/>
      <c r="B92" s="37" t="s">
        <v>3</v>
      </c>
      <c r="C92" s="1" t="s">
        <v>6</v>
      </c>
      <c r="D92" s="7">
        <f t="shared" ref="D92:D93" si="39">SUM(E92:L92)</f>
        <v>2400655.75</v>
      </c>
      <c r="E92" s="7">
        <f>E96+E100+E103+E106</f>
        <v>273095</v>
      </c>
      <c r="F92" s="7">
        <f>F96+F100+F103+F106</f>
        <v>214625</v>
      </c>
      <c r="G92" s="7">
        <f t="shared" ref="G92:H92" si="40">G96+G100+G103+G106</f>
        <v>214625</v>
      </c>
      <c r="H92" s="7">
        <f t="shared" si="40"/>
        <v>214625</v>
      </c>
      <c r="I92" s="7">
        <v>301757.34999999998</v>
      </c>
      <c r="J92" s="7">
        <v>388328.4</v>
      </c>
      <c r="K92" s="7">
        <v>396800</v>
      </c>
      <c r="L92" s="7">
        <v>396800</v>
      </c>
    </row>
    <row r="93" spans="1:16" ht="20.100000000000001" customHeight="1" x14ac:dyDescent="0.25">
      <c r="A93" s="79"/>
      <c r="B93" s="1" t="s">
        <v>4</v>
      </c>
      <c r="C93" s="1" t="s">
        <v>6</v>
      </c>
      <c r="D93" s="7">
        <f t="shared" si="39"/>
        <v>87760.06</v>
      </c>
      <c r="E93" s="7">
        <f>E97</f>
        <v>11070</v>
      </c>
      <c r="F93" s="7">
        <f>F97</f>
        <v>11070</v>
      </c>
      <c r="G93" s="7">
        <f t="shared" ref="G93:H93" si="41">G97</f>
        <v>11070</v>
      </c>
      <c r="H93" s="7">
        <f t="shared" si="41"/>
        <v>11070</v>
      </c>
      <c r="I93" s="7">
        <v>7480.06</v>
      </c>
      <c r="J93" s="7">
        <v>12000</v>
      </c>
      <c r="K93" s="7">
        <v>12000</v>
      </c>
      <c r="L93" s="7">
        <v>12000</v>
      </c>
    </row>
    <row r="94" spans="1:16" ht="106.5" customHeight="1" x14ac:dyDescent="0.25">
      <c r="A94" s="80" t="s">
        <v>81</v>
      </c>
      <c r="B94" s="1" t="s">
        <v>10</v>
      </c>
      <c r="C94" s="1" t="s">
        <v>17</v>
      </c>
      <c r="D94" s="7">
        <f>D95+D96+D97</f>
        <v>5452183.8399999999</v>
      </c>
      <c r="E94" s="7">
        <f t="shared" ref="E94:L94" si="42">E95+E96+E97</f>
        <v>1147429.92</v>
      </c>
      <c r="F94" s="7">
        <f t="shared" si="42"/>
        <v>609770</v>
      </c>
      <c r="G94" s="7">
        <f t="shared" si="42"/>
        <v>581070</v>
      </c>
      <c r="H94" s="7">
        <f t="shared" si="42"/>
        <v>553969.60000000009</v>
      </c>
      <c r="I94" s="7">
        <f t="shared" si="42"/>
        <v>720460.92</v>
      </c>
      <c r="J94" s="7">
        <f t="shared" si="42"/>
        <v>607513.4</v>
      </c>
      <c r="K94" s="7">
        <f t="shared" si="42"/>
        <v>615985</v>
      </c>
      <c r="L94" s="7">
        <f t="shared" si="42"/>
        <v>615985</v>
      </c>
    </row>
    <row r="95" spans="1:16" ht="20.25" customHeight="1" x14ac:dyDescent="0.3">
      <c r="A95" s="81"/>
      <c r="B95" s="37" t="s">
        <v>2</v>
      </c>
      <c r="C95" s="1" t="s">
        <v>6</v>
      </c>
      <c r="D95" s="7">
        <f>SUM(E95:L95)</f>
        <v>4948892.13</v>
      </c>
      <c r="E95" s="7">
        <f>344850+264000+272800+262000-103760.08</f>
        <v>1039889.92</v>
      </c>
      <c r="F95" s="7">
        <f>344850+264000+272800-320950</f>
        <v>560700</v>
      </c>
      <c r="G95" s="7">
        <f>688490.4-71350-70000-15140.4</f>
        <v>532000</v>
      </c>
      <c r="H95" s="7">
        <f>547140.4-26154.8-12200.5-4885.5</f>
        <v>503899.60000000003</v>
      </c>
      <c r="I95" s="7">
        <v>670847.61</v>
      </c>
      <c r="J95" s="7">
        <v>547185</v>
      </c>
      <c r="K95" s="7">
        <v>547185</v>
      </c>
      <c r="L95" s="7">
        <v>547185</v>
      </c>
    </row>
    <row r="96" spans="1:16" ht="20.25" customHeight="1" x14ac:dyDescent="0.3">
      <c r="A96" s="81"/>
      <c r="B96" s="37" t="s">
        <v>3</v>
      </c>
      <c r="C96" s="1" t="s">
        <v>6</v>
      </c>
      <c r="D96" s="7">
        <f t="shared" ref="D96:D97" si="43">SUM(E96:L96)</f>
        <v>415531.65</v>
      </c>
      <c r="E96" s="7">
        <v>96470</v>
      </c>
      <c r="F96" s="7">
        <f>96470-58470</f>
        <v>38000</v>
      </c>
      <c r="G96" s="7">
        <f>38000</f>
        <v>38000</v>
      </c>
      <c r="H96" s="7">
        <v>39000</v>
      </c>
      <c r="I96" s="7">
        <v>42133.25</v>
      </c>
      <c r="J96" s="7">
        <f>56800-8471.6</f>
        <v>48328.4</v>
      </c>
      <c r="K96" s="7">
        <v>56800</v>
      </c>
      <c r="L96" s="7">
        <v>56800</v>
      </c>
    </row>
    <row r="97" spans="1:17" ht="20.25" customHeight="1" x14ac:dyDescent="0.25">
      <c r="A97" s="82"/>
      <c r="B97" s="1" t="s">
        <v>4</v>
      </c>
      <c r="C97" s="1" t="s">
        <v>6</v>
      </c>
      <c r="D97" s="7">
        <f t="shared" si="43"/>
        <v>87760.06</v>
      </c>
      <c r="E97" s="7">
        <v>11070</v>
      </c>
      <c r="F97" s="7">
        <v>11070</v>
      </c>
      <c r="G97" s="7">
        <v>11070</v>
      </c>
      <c r="H97" s="7">
        <v>11070</v>
      </c>
      <c r="I97" s="7">
        <v>7480.06</v>
      </c>
      <c r="J97" s="7">
        <v>12000</v>
      </c>
      <c r="K97" s="7">
        <v>12000</v>
      </c>
      <c r="L97" s="7">
        <v>12000</v>
      </c>
    </row>
    <row r="98" spans="1:17" ht="68.45" customHeight="1" x14ac:dyDescent="0.25">
      <c r="A98" s="80" t="s">
        <v>82</v>
      </c>
      <c r="B98" s="1" t="s">
        <v>41</v>
      </c>
      <c r="C98" s="1" t="s">
        <v>17</v>
      </c>
      <c r="D98" s="7">
        <f>SUM(E98:L98)</f>
        <v>1247539.3999999999</v>
      </c>
      <c r="E98" s="7">
        <f>E99+E100</f>
        <v>169559</v>
      </c>
      <c r="F98" s="7">
        <f>F99+F100</f>
        <v>160079.79999999999</v>
      </c>
      <c r="G98" s="7">
        <f t="shared" ref="G98:L98" si="44">G99+G100</f>
        <v>155159.6</v>
      </c>
      <c r="H98" s="7">
        <f t="shared" si="44"/>
        <v>223421</v>
      </c>
      <c r="I98" s="7">
        <f t="shared" si="44"/>
        <v>239320</v>
      </c>
      <c r="J98" s="7">
        <f t="shared" si="44"/>
        <v>0</v>
      </c>
      <c r="K98" s="7">
        <f t="shared" si="44"/>
        <v>150000</v>
      </c>
      <c r="L98" s="7">
        <f t="shared" si="44"/>
        <v>150000</v>
      </c>
    </row>
    <row r="99" spans="1:17" ht="20.25" customHeight="1" x14ac:dyDescent="0.3">
      <c r="A99" s="81"/>
      <c r="B99" s="37" t="s">
        <v>2</v>
      </c>
      <c r="C99" s="1" t="s">
        <v>6</v>
      </c>
      <c r="D99" s="7">
        <f>SUM(E99:L99)</f>
        <v>1061039.3999999999</v>
      </c>
      <c r="E99" s="17">
        <f>84534.6+50399.4</f>
        <v>134934</v>
      </c>
      <c r="F99" s="17">
        <f>84534.6+40920.2</f>
        <v>125454.8</v>
      </c>
      <c r="G99" s="17">
        <f>84534.6+36000</f>
        <v>120534.6</v>
      </c>
      <c r="H99" s="17">
        <f>84534.6+36000-1705.74+70000-32.86</f>
        <v>188796</v>
      </c>
      <c r="I99" s="17">
        <v>191320</v>
      </c>
      <c r="J99" s="17">
        <f>50000-50000</f>
        <v>0</v>
      </c>
      <c r="K99" s="17">
        <v>150000</v>
      </c>
      <c r="L99" s="17">
        <v>150000</v>
      </c>
    </row>
    <row r="100" spans="1:17" ht="20.25" customHeight="1" x14ac:dyDescent="0.3">
      <c r="A100" s="82"/>
      <c r="B100" s="37" t="s">
        <v>3</v>
      </c>
      <c r="C100" s="1" t="s">
        <v>6</v>
      </c>
      <c r="D100" s="7">
        <f>SUM(E100:L100)</f>
        <v>186500</v>
      </c>
      <c r="E100" s="17">
        <v>34625</v>
      </c>
      <c r="F100" s="17">
        <v>34625</v>
      </c>
      <c r="G100" s="17">
        <v>34625</v>
      </c>
      <c r="H100" s="17">
        <v>34625</v>
      </c>
      <c r="I100" s="17">
        <v>48000</v>
      </c>
      <c r="J100" s="17">
        <v>0</v>
      </c>
      <c r="K100" s="17">
        <v>0</v>
      </c>
      <c r="L100" s="17">
        <v>0</v>
      </c>
    </row>
    <row r="101" spans="1:17" ht="75.599999999999994" customHeight="1" x14ac:dyDescent="0.25">
      <c r="A101" s="80" t="s">
        <v>83</v>
      </c>
      <c r="B101" s="1" t="s">
        <v>42</v>
      </c>
      <c r="C101" s="1" t="s">
        <v>17</v>
      </c>
      <c r="D101" s="7">
        <f>D102+D103</f>
        <v>4136700.1</v>
      </c>
      <c r="E101" s="7">
        <f t="shared" ref="E101:L101" si="45">E102+E103</f>
        <v>567050</v>
      </c>
      <c r="F101" s="7">
        <f t="shared" si="45"/>
        <v>513280</v>
      </c>
      <c r="G101" s="7">
        <f t="shared" si="45"/>
        <v>513280</v>
      </c>
      <c r="H101" s="7">
        <f t="shared" si="45"/>
        <v>492606</v>
      </c>
      <c r="I101" s="7">
        <f t="shared" si="45"/>
        <v>382644.1</v>
      </c>
      <c r="J101" s="7">
        <f t="shared" si="45"/>
        <v>330000</v>
      </c>
      <c r="K101" s="7">
        <f t="shared" si="45"/>
        <v>668920</v>
      </c>
      <c r="L101" s="7">
        <f t="shared" si="45"/>
        <v>668920</v>
      </c>
    </row>
    <row r="102" spans="1:17" ht="20.25" customHeight="1" x14ac:dyDescent="0.3">
      <c r="A102" s="81"/>
      <c r="B102" s="37" t="s">
        <v>2</v>
      </c>
      <c r="C102" s="1" t="s">
        <v>6</v>
      </c>
      <c r="D102" s="7">
        <f>SUM(E102:L102)</f>
        <v>2402076</v>
      </c>
      <c r="E102" s="17">
        <f>377280+53770</f>
        <v>431050</v>
      </c>
      <c r="F102" s="17">
        <v>377280</v>
      </c>
      <c r="G102" s="17">
        <v>377280</v>
      </c>
      <c r="H102" s="17">
        <f>377280-17850-1824</f>
        <v>357606</v>
      </c>
      <c r="I102" s="17">
        <v>181020</v>
      </c>
      <c r="J102" s="17">
        <f>338920-160000-178920</f>
        <v>0</v>
      </c>
      <c r="K102" s="17">
        <v>338920</v>
      </c>
      <c r="L102" s="17">
        <v>338920</v>
      </c>
    </row>
    <row r="103" spans="1:17" ht="20.25" customHeight="1" x14ac:dyDescent="0.3">
      <c r="A103" s="82"/>
      <c r="B103" s="37" t="s">
        <v>3</v>
      </c>
      <c r="C103" s="1" t="s">
        <v>6</v>
      </c>
      <c r="D103" s="7">
        <f>SUM(E103:L103)</f>
        <v>1734624.1</v>
      </c>
      <c r="E103" s="17">
        <v>136000</v>
      </c>
      <c r="F103" s="17">
        <v>136000</v>
      </c>
      <c r="G103" s="17">
        <v>136000</v>
      </c>
      <c r="H103" s="17">
        <v>135000</v>
      </c>
      <c r="I103" s="17">
        <v>201624.1</v>
      </c>
      <c r="J103" s="17">
        <v>330000</v>
      </c>
      <c r="K103" s="17">
        <v>330000</v>
      </c>
      <c r="L103" s="17">
        <v>330000</v>
      </c>
    </row>
    <row r="104" spans="1:17" ht="69" customHeight="1" x14ac:dyDescent="0.25">
      <c r="A104" s="90" t="s">
        <v>84</v>
      </c>
      <c r="B104" s="1" t="s">
        <v>43</v>
      </c>
      <c r="C104" s="1" t="s">
        <v>17</v>
      </c>
      <c r="D104" s="7">
        <f>D105+D106</f>
        <v>214000</v>
      </c>
      <c r="E104" s="7">
        <f t="shared" ref="E104:L104" si="46">E105+E106</f>
        <v>30000</v>
      </c>
      <c r="F104" s="7">
        <f t="shared" si="46"/>
        <v>30000</v>
      </c>
      <c r="G104" s="7">
        <f t="shared" si="46"/>
        <v>30000</v>
      </c>
      <c r="H104" s="7">
        <f t="shared" si="46"/>
        <v>30000</v>
      </c>
      <c r="I104" s="7">
        <f t="shared" si="46"/>
        <v>34000</v>
      </c>
      <c r="J104" s="7">
        <f t="shared" si="46"/>
        <v>10000</v>
      </c>
      <c r="K104" s="7">
        <f t="shared" si="46"/>
        <v>25000</v>
      </c>
      <c r="L104" s="7">
        <f t="shared" si="46"/>
        <v>25000</v>
      </c>
    </row>
    <row r="105" spans="1:17" ht="20.25" customHeight="1" x14ac:dyDescent="0.3">
      <c r="A105" s="91"/>
      <c r="B105" s="37" t="s">
        <v>2</v>
      </c>
      <c r="C105" s="1" t="s">
        <v>6</v>
      </c>
      <c r="D105" s="7">
        <f>SUM(E105:L105)</f>
        <v>150000</v>
      </c>
      <c r="E105" s="7">
        <v>24000</v>
      </c>
      <c r="F105" s="7">
        <v>24000</v>
      </c>
      <c r="G105" s="7">
        <v>24000</v>
      </c>
      <c r="H105" s="7">
        <v>24000</v>
      </c>
      <c r="I105" s="7">
        <v>24000</v>
      </c>
      <c r="J105" s="7">
        <f>15000-15000</f>
        <v>0</v>
      </c>
      <c r="K105" s="7">
        <v>15000</v>
      </c>
      <c r="L105" s="7">
        <v>15000</v>
      </c>
    </row>
    <row r="106" spans="1:17" ht="20.25" customHeight="1" x14ac:dyDescent="0.3">
      <c r="A106" s="92"/>
      <c r="B106" s="37" t="s">
        <v>3</v>
      </c>
      <c r="C106" s="1" t="s">
        <v>6</v>
      </c>
      <c r="D106" s="7">
        <f>SUM(E106:L106)</f>
        <v>64000</v>
      </c>
      <c r="E106" s="7">
        <v>6000</v>
      </c>
      <c r="F106" s="7">
        <v>6000</v>
      </c>
      <c r="G106" s="7">
        <v>6000</v>
      </c>
      <c r="H106" s="7">
        <v>6000</v>
      </c>
      <c r="I106" s="7">
        <v>10000</v>
      </c>
      <c r="J106" s="7">
        <v>10000</v>
      </c>
      <c r="K106" s="7">
        <v>10000</v>
      </c>
      <c r="L106" s="7">
        <v>10000</v>
      </c>
    </row>
    <row r="107" spans="1:17" ht="61.9" customHeight="1" x14ac:dyDescent="0.25">
      <c r="A107" s="38" t="s">
        <v>85</v>
      </c>
      <c r="B107" s="1" t="s">
        <v>9</v>
      </c>
      <c r="C107" s="1" t="s">
        <v>6</v>
      </c>
      <c r="D107" s="7">
        <f>SUM(E107:L107)</f>
        <v>131705.74</v>
      </c>
      <c r="E107" s="7">
        <v>0</v>
      </c>
      <c r="F107" s="7">
        <v>0</v>
      </c>
      <c r="G107" s="7">
        <v>130000</v>
      </c>
      <c r="H107" s="7">
        <f>1705.74</f>
        <v>1705.74</v>
      </c>
      <c r="I107" s="7">
        <v>0</v>
      </c>
      <c r="J107" s="7">
        <v>0</v>
      </c>
      <c r="K107" s="7">
        <v>0</v>
      </c>
      <c r="L107" s="7">
        <v>0</v>
      </c>
    </row>
    <row r="108" spans="1:17" ht="76.150000000000006" customHeight="1" x14ac:dyDescent="0.25">
      <c r="A108" s="38" t="s">
        <v>86</v>
      </c>
      <c r="B108" s="1" t="s">
        <v>9</v>
      </c>
      <c r="C108" s="1" t="s">
        <v>6</v>
      </c>
      <c r="D108" s="7">
        <f>SUM(E108:L108)</f>
        <v>98760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f>100000-1240</f>
        <v>98760</v>
      </c>
      <c r="K108" s="7">
        <v>0</v>
      </c>
      <c r="L108" s="7">
        <v>0</v>
      </c>
    </row>
    <row r="109" spans="1:17" ht="74.45" customHeight="1" x14ac:dyDescent="0.25">
      <c r="A109" s="39" t="s">
        <v>87</v>
      </c>
      <c r="B109" s="1" t="s">
        <v>9</v>
      </c>
      <c r="C109" s="1" t="s">
        <v>6</v>
      </c>
      <c r="D109" s="18">
        <f>D110+D111+D112+D113</f>
        <v>1016525066.9700001</v>
      </c>
      <c r="E109" s="18">
        <f t="shared" ref="E109:L109" si="47">E110+E111+E112+E113</f>
        <v>134831689.49000001</v>
      </c>
      <c r="F109" s="18">
        <f t="shared" si="47"/>
        <v>105971077.68000001</v>
      </c>
      <c r="G109" s="18">
        <f t="shared" si="47"/>
        <v>135235419.95999998</v>
      </c>
      <c r="H109" s="18">
        <f t="shared" si="47"/>
        <v>151362962.77000001</v>
      </c>
      <c r="I109" s="18">
        <f t="shared" si="47"/>
        <v>140432681.63</v>
      </c>
      <c r="J109" s="18">
        <f t="shared" si="47"/>
        <v>137848067.81999999</v>
      </c>
      <c r="K109" s="18">
        <f t="shared" si="47"/>
        <v>106181583.81</v>
      </c>
      <c r="L109" s="18">
        <f t="shared" si="47"/>
        <v>104661583.81</v>
      </c>
    </row>
    <row r="110" spans="1:17" ht="57.75" customHeight="1" x14ac:dyDescent="0.25">
      <c r="A110" s="39" t="s">
        <v>88</v>
      </c>
      <c r="B110" s="1" t="s">
        <v>9</v>
      </c>
      <c r="C110" s="1" t="s">
        <v>6</v>
      </c>
      <c r="D110" s="7">
        <f>SUM(E110:L110)</f>
        <v>920449594.95000005</v>
      </c>
      <c r="E110" s="7">
        <v>84127595.180000007</v>
      </c>
      <c r="F110" s="7">
        <f>91484403.1+7727610.7+63921-21020-500000-826410+256000+3109489.9</f>
        <v>101293994.7</v>
      </c>
      <c r="G110" s="7">
        <f>99572673.72+23171237.13+3636642.24+1917048.3</f>
        <v>128297601.38999999</v>
      </c>
      <c r="H110" s="7">
        <f>111787781.73+16467936.45+262763.55+251921.72-179294.95+18848764.69-23423.45-545964</f>
        <v>146870485.74000001</v>
      </c>
      <c r="I110" s="7">
        <f>133622516.79-145000</f>
        <v>133477516.79000001</v>
      </c>
      <c r="J110" s="7">
        <v>132086718.70999999</v>
      </c>
      <c r="K110" s="7">
        <v>97147841.219999999</v>
      </c>
      <c r="L110" s="7">
        <v>97147841.219999999</v>
      </c>
      <c r="P110" s="34"/>
      <c r="Q110" s="34"/>
    </row>
    <row r="111" spans="1:17" ht="76.5" customHeight="1" x14ac:dyDescent="0.25">
      <c r="A111" s="39" t="s">
        <v>89</v>
      </c>
      <c r="B111" s="1" t="s">
        <v>8</v>
      </c>
      <c r="C111" s="1" t="s">
        <v>6</v>
      </c>
      <c r="D111" s="7">
        <f t="shared" ref="D111:D120" si="48">SUM(E111:L111)</f>
        <v>48192775.329999998</v>
      </c>
      <c r="E111" s="7">
        <v>3031329.09</v>
      </c>
      <c r="F111" s="7">
        <f>3231816.41+16000-264000-223278+856546+72404+80000-78193+70435.51+500000+382887.06</f>
        <v>4644617.9799999995</v>
      </c>
      <c r="G111" s="7">
        <f>4226210.41+1247500+967000-331568.84+800000</f>
        <v>6909141.5700000003</v>
      </c>
      <c r="H111" s="7">
        <f>4226253-15000+252256.56</f>
        <v>4463509.5599999996</v>
      </c>
      <c r="I111" s="7">
        <v>6924993.8399999999</v>
      </c>
      <c r="J111" s="7">
        <f>7459942.64-900000-828244.53</f>
        <v>5731698.1099999994</v>
      </c>
      <c r="K111" s="7">
        <v>9003742.5899999999</v>
      </c>
      <c r="L111" s="7">
        <v>7483742.5899999999</v>
      </c>
    </row>
    <row r="112" spans="1:17" ht="78" customHeight="1" x14ac:dyDescent="0.25">
      <c r="A112" s="13" t="s">
        <v>90</v>
      </c>
      <c r="B112" s="1" t="s">
        <v>26</v>
      </c>
      <c r="C112" s="1" t="s">
        <v>6</v>
      </c>
      <c r="D112" s="7">
        <f t="shared" si="48"/>
        <v>246058.47</v>
      </c>
      <c r="E112" s="7">
        <f>40097-3970</f>
        <v>36127</v>
      </c>
      <c r="F112" s="7">
        <f>40097-3970-3662</f>
        <v>32465</v>
      </c>
      <c r="G112" s="7">
        <f>33666-4989</f>
        <v>28677</v>
      </c>
      <c r="H112" s="7">
        <v>28967.47</v>
      </c>
      <c r="I112" s="7">
        <v>30171</v>
      </c>
      <c r="J112" s="7">
        <f>30000-200-149</f>
        <v>29651</v>
      </c>
      <c r="K112" s="7">
        <v>30000</v>
      </c>
      <c r="L112" s="7">
        <v>30000</v>
      </c>
    </row>
    <row r="113" spans="1:12" ht="66.75" customHeight="1" x14ac:dyDescent="0.25">
      <c r="A113" s="13" t="s">
        <v>91</v>
      </c>
      <c r="B113" s="1" t="s">
        <v>11</v>
      </c>
      <c r="C113" s="1" t="s">
        <v>6</v>
      </c>
      <c r="D113" s="7">
        <f t="shared" si="48"/>
        <v>47636638.219999999</v>
      </c>
      <c r="E113" s="7">
        <v>47636638.219999999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ht="57.75" customHeight="1" x14ac:dyDescent="0.25">
      <c r="A114" s="39" t="s">
        <v>92</v>
      </c>
      <c r="B114" s="1" t="s">
        <v>9</v>
      </c>
      <c r="C114" s="1" t="s">
        <v>6</v>
      </c>
      <c r="D114" s="7">
        <f t="shared" si="48"/>
        <v>16564077.43</v>
      </c>
      <c r="E114" s="7">
        <f>1000000-750000</f>
        <v>250000</v>
      </c>
      <c r="F114" s="7">
        <f>1000000-750000+328247.67+64800</f>
        <v>643047.66999999993</v>
      </c>
      <c r="G114" s="7">
        <f>450000+200000+200000</f>
        <v>850000</v>
      </c>
      <c r="H114" s="7">
        <f>11430215.39+90814.37+300000</f>
        <v>11821029.76</v>
      </c>
      <c r="I114" s="7">
        <v>1000000</v>
      </c>
      <c r="J114" s="7">
        <f>1000000-1000000</f>
        <v>0</v>
      </c>
      <c r="K114" s="7">
        <v>1000000</v>
      </c>
      <c r="L114" s="7">
        <v>1000000</v>
      </c>
    </row>
    <row r="115" spans="1:12" ht="102" customHeight="1" x14ac:dyDescent="0.25">
      <c r="A115" s="39" t="s">
        <v>93</v>
      </c>
      <c r="B115" s="1" t="s">
        <v>9</v>
      </c>
      <c r="C115" s="1" t="s">
        <v>6</v>
      </c>
      <c r="D115" s="7">
        <f t="shared" si="48"/>
        <v>710000</v>
      </c>
      <c r="E115" s="7">
        <v>41400</v>
      </c>
      <c r="F115" s="7">
        <f>200000-200000</f>
        <v>0</v>
      </c>
      <c r="G115" s="7">
        <f>200000-200000</f>
        <v>0</v>
      </c>
      <c r="H115" s="7">
        <f>200000-200000</f>
        <v>0</v>
      </c>
      <c r="I115" s="7">
        <v>200000</v>
      </c>
      <c r="J115" s="7">
        <f>200000-131400</f>
        <v>68600</v>
      </c>
      <c r="K115" s="7">
        <v>200000</v>
      </c>
      <c r="L115" s="7">
        <v>200000</v>
      </c>
    </row>
    <row r="116" spans="1:12" ht="61.5" customHeight="1" x14ac:dyDescent="0.25">
      <c r="A116" s="39" t="s">
        <v>94</v>
      </c>
      <c r="B116" s="1" t="s">
        <v>23</v>
      </c>
      <c r="C116" s="1" t="s">
        <v>6</v>
      </c>
      <c r="D116" s="7">
        <f t="shared" si="48"/>
        <v>2484107.6</v>
      </c>
      <c r="E116" s="7">
        <v>400000</v>
      </c>
      <c r="F116" s="7">
        <f>400000-388864</f>
        <v>11136</v>
      </c>
      <c r="G116" s="7">
        <v>400000</v>
      </c>
      <c r="H116" s="7">
        <v>0</v>
      </c>
      <c r="I116" s="7">
        <v>400000</v>
      </c>
      <c r="J116" s="7">
        <v>472971.6</v>
      </c>
      <c r="K116" s="7">
        <v>400000</v>
      </c>
      <c r="L116" s="7">
        <v>400000</v>
      </c>
    </row>
    <row r="117" spans="1:12" ht="135" customHeight="1" x14ac:dyDescent="0.25">
      <c r="A117" s="39" t="s">
        <v>95</v>
      </c>
      <c r="B117" s="1" t="s">
        <v>26</v>
      </c>
      <c r="C117" s="1" t="s">
        <v>6</v>
      </c>
      <c r="D117" s="7">
        <f t="shared" si="48"/>
        <v>1461178.17</v>
      </c>
      <c r="E117" s="7">
        <v>500000</v>
      </c>
      <c r="F117" s="7">
        <f>500000+500000-38821.83</f>
        <v>961178.17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ht="83.25" customHeight="1" x14ac:dyDescent="0.25">
      <c r="A118" s="39" t="s">
        <v>96</v>
      </c>
      <c r="B118" s="1" t="s">
        <v>26</v>
      </c>
      <c r="C118" s="1" t="s">
        <v>6</v>
      </c>
      <c r="D118" s="7">
        <f t="shared" si="48"/>
        <v>4000000</v>
      </c>
      <c r="E118" s="7">
        <v>0</v>
      </c>
      <c r="F118" s="7">
        <v>0</v>
      </c>
      <c r="G118" s="7">
        <f>1000000-893457.15-106542.85</f>
        <v>0</v>
      </c>
      <c r="H118" s="7">
        <f>291867.39-200000-46471.97-45395.42</f>
        <v>0</v>
      </c>
      <c r="I118" s="7">
        <v>0</v>
      </c>
      <c r="J118" s="7">
        <v>0</v>
      </c>
      <c r="K118" s="7">
        <v>2000000</v>
      </c>
      <c r="L118" s="7">
        <v>2000000</v>
      </c>
    </row>
    <row r="119" spans="1:12" ht="63" customHeight="1" x14ac:dyDescent="0.25">
      <c r="A119" s="38" t="s">
        <v>35</v>
      </c>
      <c r="B119" s="20" t="s">
        <v>33</v>
      </c>
      <c r="C119" s="20" t="s">
        <v>6</v>
      </c>
      <c r="D119" s="7">
        <f t="shared" si="48"/>
        <v>129137270.46999998</v>
      </c>
      <c r="E119" s="7">
        <v>0</v>
      </c>
      <c r="F119" s="7">
        <f>14783926.1-257109.98+212100</f>
        <v>14738916.119999999</v>
      </c>
      <c r="G119" s="7">
        <f>14634937.12+2072456.59</f>
        <v>16707393.709999999</v>
      </c>
      <c r="H119" s="7">
        <f>1037186.46+12917187.64+3000000+83943.2+14527.5</f>
        <v>17052844.800000001</v>
      </c>
      <c r="I119" s="7">
        <v>21123612.34</v>
      </c>
      <c r="J119" s="7">
        <f>21860209.27-12404.09-183208.99</f>
        <v>21664596.190000001</v>
      </c>
      <c r="K119" s="7">
        <v>16275698.039999999</v>
      </c>
      <c r="L119" s="7">
        <v>21574209.27</v>
      </c>
    </row>
    <row r="120" spans="1:12" ht="66.75" customHeight="1" x14ac:dyDescent="0.25">
      <c r="A120" s="39" t="s">
        <v>34</v>
      </c>
      <c r="B120" s="1" t="s">
        <v>11</v>
      </c>
      <c r="C120" s="1" t="s">
        <v>6</v>
      </c>
      <c r="D120" s="7">
        <f t="shared" si="48"/>
        <v>422104562.76999998</v>
      </c>
      <c r="E120" s="7">
        <v>0</v>
      </c>
      <c r="F120" s="7">
        <f>48986954.7+80850+4995-300000</f>
        <v>48772799.700000003</v>
      </c>
      <c r="G120" s="7">
        <f>50088504.84+368984.35+248277.97</f>
        <v>50705767.160000004</v>
      </c>
      <c r="H120" s="7">
        <f>4898054.83+45538092.4+9000000+1509183.43</f>
        <v>60945330.659999996</v>
      </c>
      <c r="I120" s="7">
        <v>68956609.599999994</v>
      </c>
      <c r="J120" s="7">
        <f>75573044.26-819579.89</f>
        <v>74753464.370000005</v>
      </c>
      <c r="K120" s="7">
        <v>58985295.640000001</v>
      </c>
      <c r="L120" s="7">
        <v>58985295.640000001</v>
      </c>
    </row>
    <row r="121" spans="1:12" ht="38.85" customHeight="1" x14ac:dyDescent="0.25">
      <c r="A121" s="90" t="s">
        <v>36</v>
      </c>
      <c r="B121" s="87" t="s">
        <v>9</v>
      </c>
      <c r="C121" s="1" t="s">
        <v>17</v>
      </c>
      <c r="D121" s="7">
        <f>D122+D123</f>
        <v>32000000</v>
      </c>
      <c r="E121" s="7">
        <f t="shared" ref="E121:L121" si="49">E122+E123</f>
        <v>0</v>
      </c>
      <c r="F121" s="7">
        <f t="shared" si="49"/>
        <v>0</v>
      </c>
      <c r="G121" s="7">
        <f t="shared" si="49"/>
        <v>0</v>
      </c>
      <c r="H121" s="7">
        <f t="shared" si="49"/>
        <v>0</v>
      </c>
      <c r="I121" s="7">
        <f t="shared" si="49"/>
        <v>0</v>
      </c>
      <c r="J121" s="7">
        <f t="shared" si="49"/>
        <v>0</v>
      </c>
      <c r="K121" s="7">
        <f t="shared" si="49"/>
        <v>16000000</v>
      </c>
      <c r="L121" s="7">
        <f t="shared" si="49"/>
        <v>16000000</v>
      </c>
    </row>
    <row r="122" spans="1:12" ht="38.85" customHeight="1" x14ac:dyDescent="0.25">
      <c r="A122" s="91"/>
      <c r="B122" s="88"/>
      <c r="C122" s="20" t="s">
        <v>6</v>
      </c>
      <c r="D122" s="7">
        <f>SUM(E122:L122)</f>
        <v>2000000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f>1853933-1853933</f>
        <v>0</v>
      </c>
      <c r="K122" s="7">
        <v>1000000</v>
      </c>
      <c r="L122" s="7">
        <v>1000000</v>
      </c>
    </row>
    <row r="123" spans="1:12" ht="38.85" customHeight="1" x14ac:dyDescent="0.25">
      <c r="A123" s="92"/>
      <c r="B123" s="89"/>
      <c r="C123" s="20" t="s">
        <v>27</v>
      </c>
      <c r="D123" s="7">
        <f>SUM(E123:L123)</f>
        <v>30000000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15000000-15000000</f>
        <v>0</v>
      </c>
      <c r="K123" s="7">
        <v>15000000</v>
      </c>
      <c r="L123" s="7">
        <v>15000000</v>
      </c>
    </row>
    <row r="124" spans="1:12" ht="58.5" customHeight="1" x14ac:dyDescent="0.25">
      <c r="A124" s="38" t="s">
        <v>97</v>
      </c>
      <c r="B124" s="20" t="s">
        <v>23</v>
      </c>
      <c r="C124" s="20" t="s">
        <v>6</v>
      </c>
      <c r="D124" s="7">
        <f t="shared" ref="D124:D125" si="50">SUM(E124:L124)</f>
        <v>36000</v>
      </c>
      <c r="E124" s="7">
        <v>0</v>
      </c>
      <c r="F124" s="7">
        <v>36000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ht="116.25" customHeight="1" x14ac:dyDescent="0.25">
      <c r="A125" s="39" t="s">
        <v>98</v>
      </c>
      <c r="B125" s="1" t="s">
        <v>26</v>
      </c>
      <c r="C125" s="1" t="s">
        <v>6</v>
      </c>
      <c r="D125" s="7">
        <f t="shared" si="50"/>
        <v>2000000</v>
      </c>
      <c r="E125" s="7">
        <v>0</v>
      </c>
      <c r="F125" s="7">
        <v>2000000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60" customHeight="1" x14ac:dyDescent="0.25">
      <c r="A126" s="90" t="s">
        <v>99</v>
      </c>
      <c r="B126" s="87" t="s">
        <v>9</v>
      </c>
      <c r="C126" s="20" t="s">
        <v>17</v>
      </c>
      <c r="D126" s="7">
        <f>D127+D128</f>
        <v>7347391.6299999999</v>
      </c>
      <c r="E126" s="7">
        <f t="shared" ref="E126:L126" si="51">E127+E128</f>
        <v>0</v>
      </c>
      <c r="F126" s="7">
        <f t="shared" si="51"/>
        <v>7347391.6299999999</v>
      </c>
      <c r="G126" s="7">
        <f t="shared" si="51"/>
        <v>0</v>
      </c>
      <c r="H126" s="7">
        <f t="shared" si="51"/>
        <v>0</v>
      </c>
      <c r="I126" s="7">
        <f t="shared" si="51"/>
        <v>0</v>
      </c>
      <c r="J126" s="7">
        <f t="shared" si="51"/>
        <v>0</v>
      </c>
      <c r="K126" s="7">
        <f t="shared" si="51"/>
        <v>0</v>
      </c>
      <c r="L126" s="7">
        <f t="shared" si="51"/>
        <v>0</v>
      </c>
    </row>
    <row r="127" spans="1:12" ht="60" customHeight="1" x14ac:dyDescent="0.25">
      <c r="A127" s="91"/>
      <c r="B127" s="88"/>
      <c r="C127" s="20" t="s">
        <v>6</v>
      </c>
      <c r="D127" s="7">
        <f>SUM(E127:L127)</f>
        <v>525362.32999999996</v>
      </c>
      <c r="E127" s="7">
        <v>0</v>
      </c>
      <c r="F127" s="7">
        <f>300000+225362.33</f>
        <v>525362.32999999996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ht="51" customHeight="1" x14ac:dyDescent="0.25">
      <c r="A128" s="92"/>
      <c r="B128" s="89"/>
      <c r="C128" s="20" t="s">
        <v>27</v>
      </c>
      <c r="D128" s="7">
        <f>SUM(E128:L128)</f>
        <v>6822029.2999999998</v>
      </c>
      <c r="E128" s="7">
        <v>0</v>
      </c>
      <c r="F128" s="7">
        <v>6822029.2999999998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409.6" customHeight="1" x14ac:dyDescent="0.25">
      <c r="A129" s="83" t="s">
        <v>100</v>
      </c>
      <c r="B129" s="56" t="s">
        <v>67</v>
      </c>
      <c r="C129" s="56" t="s">
        <v>17</v>
      </c>
      <c r="D129" s="54">
        <f>D131+D132+D133+D134+D135+D136+D137+D138+D139</f>
        <v>9495200</v>
      </c>
      <c r="E129" s="54">
        <f t="shared" ref="E129:L129" si="52">E131+E132+E133+E134+E135+E136+E137+E138+E139</f>
        <v>0</v>
      </c>
      <c r="F129" s="54">
        <f t="shared" si="52"/>
        <v>0</v>
      </c>
      <c r="G129" s="54">
        <f t="shared" si="52"/>
        <v>4237300</v>
      </c>
      <c r="H129" s="54">
        <f t="shared" si="52"/>
        <v>0</v>
      </c>
      <c r="I129" s="54">
        <f t="shared" si="52"/>
        <v>5257900</v>
      </c>
      <c r="J129" s="54">
        <f t="shared" si="52"/>
        <v>0</v>
      </c>
      <c r="K129" s="54">
        <f t="shared" si="52"/>
        <v>0</v>
      </c>
      <c r="L129" s="54">
        <f t="shared" si="52"/>
        <v>0</v>
      </c>
    </row>
    <row r="130" spans="1:494" ht="124.9" customHeight="1" x14ac:dyDescent="0.25">
      <c r="A130" s="84"/>
      <c r="B130" s="57"/>
      <c r="C130" s="57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494" ht="42.75" customHeight="1" x14ac:dyDescent="0.25">
      <c r="A131" s="84"/>
      <c r="B131" s="3" t="s">
        <v>9</v>
      </c>
      <c r="C131" s="3" t="s">
        <v>27</v>
      </c>
      <c r="D131" s="7">
        <f>SUM(E131:L131)</f>
        <v>5178168.42</v>
      </c>
      <c r="E131" s="7">
        <v>0</v>
      </c>
      <c r="F131" s="7">
        <v>0</v>
      </c>
      <c r="G131" s="7">
        <v>3069154.04</v>
      </c>
      <c r="H131" s="7">
        <v>0</v>
      </c>
      <c r="I131" s="7">
        <v>2109014.38</v>
      </c>
      <c r="J131" s="7">
        <v>0</v>
      </c>
      <c r="K131" s="7">
        <v>0</v>
      </c>
      <c r="L131" s="7">
        <v>0</v>
      </c>
    </row>
    <row r="132" spans="1:494" ht="79.900000000000006" customHeight="1" x14ac:dyDescent="0.25">
      <c r="A132" s="84"/>
      <c r="B132" s="3" t="s">
        <v>66</v>
      </c>
      <c r="C132" s="3" t="s">
        <v>27</v>
      </c>
      <c r="D132" s="7">
        <f t="shared" ref="D132:D141" si="53">SUM(E132:L132)</f>
        <v>680053.95</v>
      </c>
      <c r="E132" s="7">
        <v>0</v>
      </c>
      <c r="F132" s="7">
        <v>0</v>
      </c>
      <c r="G132" s="7">
        <v>585315.48</v>
      </c>
      <c r="H132" s="7">
        <v>0</v>
      </c>
      <c r="I132" s="7">
        <v>94738.47</v>
      </c>
      <c r="J132" s="7">
        <v>0</v>
      </c>
      <c r="K132" s="7">
        <v>0</v>
      </c>
      <c r="L132" s="7">
        <v>0</v>
      </c>
    </row>
    <row r="133" spans="1:494" ht="99" customHeight="1" x14ac:dyDescent="0.25">
      <c r="A133" s="84"/>
      <c r="B133" s="3" t="s">
        <v>29</v>
      </c>
      <c r="C133" s="3" t="s">
        <v>27</v>
      </c>
      <c r="D133" s="7">
        <f t="shared" si="53"/>
        <v>677568.95</v>
      </c>
      <c r="E133" s="7">
        <v>0</v>
      </c>
      <c r="F133" s="7">
        <v>0</v>
      </c>
      <c r="G133" s="7">
        <v>582830.48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25">
      <c r="A134" s="84"/>
      <c r="B134" s="3" t="s">
        <v>40</v>
      </c>
      <c r="C134" s="3" t="s">
        <v>27</v>
      </c>
      <c r="D134" s="7">
        <f t="shared" si="53"/>
        <v>814846.39</v>
      </c>
      <c r="E134" s="7">
        <v>0</v>
      </c>
      <c r="F134" s="7">
        <v>0</v>
      </c>
      <c r="G134" s="7">
        <v>0</v>
      </c>
      <c r="H134" s="7">
        <v>0</v>
      </c>
      <c r="I134" s="7">
        <v>814846.39</v>
      </c>
      <c r="J134" s="7">
        <v>0</v>
      </c>
      <c r="K134" s="7">
        <v>0</v>
      </c>
      <c r="L134" s="7">
        <v>0</v>
      </c>
    </row>
    <row r="135" spans="1:494" ht="63.75" customHeight="1" x14ac:dyDescent="0.25">
      <c r="A135" s="84"/>
      <c r="B135" s="3" t="s">
        <v>39</v>
      </c>
      <c r="C135" s="3" t="s">
        <v>27</v>
      </c>
      <c r="D135" s="7">
        <f t="shared" si="53"/>
        <v>623117.82999999996</v>
      </c>
      <c r="E135" s="7">
        <v>0</v>
      </c>
      <c r="F135" s="7">
        <v>0</v>
      </c>
      <c r="G135" s="7">
        <v>0</v>
      </c>
      <c r="H135" s="7">
        <v>0</v>
      </c>
      <c r="I135" s="7">
        <v>623117.82999999996</v>
      </c>
      <c r="J135" s="7">
        <v>0</v>
      </c>
      <c r="K135" s="7">
        <v>0</v>
      </c>
      <c r="L135" s="7">
        <v>0</v>
      </c>
    </row>
    <row r="136" spans="1:494" ht="74.25" customHeight="1" x14ac:dyDescent="0.25">
      <c r="A136" s="84"/>
      <c r="B136" s="3" t="s">
        <v>62</v>
      </c>
      <c r="C136" s="3" t="s">
        <v>27</v>
      </c>
      <c r="D136" s="7">
        <f t="shared" si="53"/>
        <v>479321.4</v>
      </c>
      <c r="E136" s="7">
        <v>0</v>
      </c>
      <c r="F136" s="7">
        <v>0</v>
      </c>
      <c r="G136" s="7">
        <v>0</v>
      </c>
      <c r="H136" s="7">
        <v>0</v>
      </c>
      <c r="I136" s="7">
        <v>479321.4</v>
      </c>
      <c r="J136" s="7">
        <v>0</v>
      </c>
      <c r="K136" s="7">
        <v>0</v>
      </c>
      <c r="L136" s="7">
        <v>0</v>
      </c>
    </row>
    <row r="137" spans="1:494" ht="111" customHeight="1" x14ac:dyDescent="0.25">
      <c r="A137" s="84"/>
      <c r="B137" s="3" t="s">
        <v>63</v>
      </c>
      <c r="C137" s="3" t="s">
        <v>27</v>
      </c>
      <c r="D137" s="7">
        <f t="shared" si="53"/>
        <v>94738.47</v>
      </c>
      <c r="E137" s="7">
        <v>0</v>
      </c>
      <c r="F137" s="7">
        <v>0</v>
      </c>
      <c r="G137" s="7">
        <v>0</v>
      </c>
      <c r="H137" s="7">
        <v>0</v>
      </c>
      <c r="I137" s="7">
        <v>94738.47</v>
      </c>
      <c r="J137" s="7">
        <v>0</v>
      </c>
      <c r="K137" s="7">
        <v>0</v>
      </c>
      <c r="L137" s="7">
        <v>0</v>
      </c>
    </row>
    <row r="138" spans="1:494" ht="111" customHeight="1" x14ac:dyDescent="0.25">
      <c r="A138" s="84"/>
      <c r="B138" s="3" t="s">
        <v>64</v>
      </c>
      <c r="C138" s="3" t="s">
        <v>27</v>
      </c>
      <c r="D138" s="7">
        <f t="shared" si="53"/>
        <v>805276.89</v>
      </c>
      <c r="E138" s="7">
        <v>0</v>
      </c>
      <c r="F138" s="7">
        <v>0</v>
      </c>
      <c r="G138" s="7">
        <v>0</v>
      </c>
      <c r="H138" s="7">
        <v>0</v>
      </c>
      <c r="I138" s="7">
        <v>805276.89</v>
      </c>
      <c r="J138" s="7">
        <v>0</v>
      </c>
      <c r="K138" s="7">
        <v>0</v>
      </c>
      <c r="L138" s="7">
        <v>0</v>
      </c>
    </row>
    <row r="139" spans="1:494" ht="111" customHeight="1" x14ac:dyDescent="0.25">
      <c r="A139" s="85"/>
      <c r="B139" s="3" t="s">
        <v>65</v>
      </c>
      <c r="C139" s="3" t="s">
        <v>27</v>
      </c>
      <c r="D139" s="7">
        <f t="shared" si="53"/>
        <v>142107.70000000001</v>
      </c>
      <c r="E139" s="7">
        <v>0</v>
      </c>
      <c r="F139" s="7">
        <v>0</v>
      </c>
      <c r="G139" s="7">
        <v>0</v>
      </c>
      <c r="H139" s="7">
        <v>0</v>
      </c>
      <c r="I139" s="7">
        <v>142107.70000000001</v>
      </c>
      <c r="J139" s="7">
        <v>0</v>
      </c>
      <c r="K139" s="7">
        <v>0</v>
      </c>
      <c r="L139" s="7">
        <v>0</v>
      </c>
    </row>
    <row r="140" spans="1:494" ht="98.25" customHeight="1" x14ac:dyDescent="0.25">
      <c r="A140" s="40" t="s">
        <v>45</v>
      </c>
      <c r="B140" s="3" t="s">
        <v>44</v>
      </c>
      <c r="C140" s="41" t="s">
        <v>6</v>
      </c>
      <c r="D140" s="7">
        <f t="shared" si="53"/>
        <v>36851049.579999998</v>
      </c>
      <c r="E140" s="7">
        <v>0</v>
      </c>
      <c r="F140" s="7">
        <v>0</v>
      </c>
      <c r="G140" s="7">
        <v>0</v>
      </c>
      <c r="H140" s="7">
        <v>3342102.06</v>
      </c>
      <c r="I140" s="7">
        <v>7923299.8700000001</v>
      </c>
      <c r="J140" s="7">
        <f>9185647.65+2000000</f>
        <v>11185647.65</v>
      </c>
      <c r="K140" s="7">
        <v>7200000</v>
      </c>
      <c r="L140" s="7">
        <v>7200000</v>
      </c>
      <c r="M140" s="42"/>
      <c r="N140" s="42"/>
      <c r="O140" s="42"/>
      <c r="P140" s="42"/>
      <c r="Q140" s="42"/>
      <c r="R140" s="42"/>
      <c r="S140" s="42"/>
      <c r="T140" s="43"/>
      <c r="U140" s="43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  <c r="AI140" s="43"/>
      <c r="AJ140" s="43"/>
      <c r="AK140" s="43"/>
      <c r="AL140" s="43"/>
      <c r="AM140" s="43"/>
      <c r="AN140" s="42"/>
      <c r="AO140" s="42"/>
      <c r="AP140" s="42"/>
      <c r="AQ140" s="42"/>
      <c r="AR140" s="42"/>
      <c r="AS140" s="42"/>
      <c r="AT140" s="42"/>
      <c r="AU140" s="42"/>
      <c r="AV140" s="43"/>
      <c r="AW140" s="43"/>
      <c r="AX140" s="43"/>
      <c r="AY140" s="43"/>
      <c r="AZ140" s="43"/>
      <c r="BA140" s="43"/>
      <c r="BB140" s="42"/>
      <c r="BC140" s="42"/>
      <c r="BD140" s="42"/>
      <c r="BE140" s="42"/>
      <c r="BF140" s="42"/>
      <c r="BG140" s="42"/>
      <c r="BH140" s="42"/>
      <c r="BI140" s="42"/>
      <c r="BJ140" s="43"/>
      <c r="BK140" s="43"/>
      <c r="BL140" s="43"/>
      <c r="BM140" s="43"/>
      <c r="BN140" s="43"/>
      <c r="BO140" s="43"/>
      <c r="BP140" s="42"/>
      <c r="BQ140" s="42"/>
      <c r="BR140" s="42"/>
      <c r="BS140" s="42"/>
      <c r="BT140" s="42"/>
      <c r="BU140" s="42"/>
      <c r="BV140" s="42"/>
      <c r="BW140" s="42"/>
      <c r="BX140" s="43"/>
      <c r="BY140" s="43"/>
      <c r="BZ140" s="43"/>
      <c r="CA140" s="43"/>
      <c r="CB140" s="43"/>
      <c r="CC140" s="43"/>
      <c r="CD140" s="42"/>
      <c r="CE140" s="42"/>
      <c r="CF140" s="42"/>
      <c r="CG140" s="42"/>
      <c r="CH140" s="42"/>
      <c r="CI140" s="42"/>
      <c r="CJ140" s="42"/>
      <c r="CK140" s="42"/>
      <c r="CL140" s="43"/>
      <c r="CM140" s="43"/>
      <c r="CN140" s="43"/>
      <c r="CO140" s="43"/>
      <c r="CP140" s="43"/>
      <c r="CQ140" s="43"/>
      <c r="CR140" s="42"/>
      <c r="CS140" s="42"/>
      <c r="CT140" s="42"/>
      <c r="CU140" s="42"/>
      <c r="CV140" s="42"/>
      <c r="CW140" s="42"/>
      <c r="CX140" s="42"/>
      <c r="CY140" s="42"/>
      <c r="CZ140" s="43"/>
      <c r="DA140" s="43"/>
      <c r="DB140" s="43"/>
      <c r="DC140" s="43"/>
      <c r="DD140" s="43"/>
      <c r="DE140" s="43"/>
      <c r="DF140" s="42"/>
      <c r="DG140" s="42"/>
      <c r="DH140" s="42"/>
      <c r="DI140" s="42"/>
      <c r="DJ140" s="42"/>
      <c r="DK140" s="42"/>
      <c r="DL140" s="42"/>
      <c r="DM140" s="42"/>
      <c r="DN140" s="43"/>
      <c r="DO140" s="43"/>
      <c r="DP140" s="43"/>
      <c r="DQ140" s="43"/>
      <c r="DR140" s="43"/>
      <c r="DS140" s="43"/>
      <c r="DT140" s="42"/>
      <c r="DU140" s="42"/>
      <c r="DV140" s="42"/>
      <c r="DW140" s="42"/>
      <c r="DX140" s="42"/>
      <c r="DY140" s="42"/>
      <c r="DZ140" s="42"/>
      <c r="EA140" s="42"/>
      <c r="EB140" s="43"/>
      <c r="EC140" s="43"/>
      <c r="ED140" s="43"/>
      <c r="EE140" s="43"/>
      <c r="EF140" s="43"/>
      <c r="EG140" s="43"/>
      <c r="EH140" s="42"/>
      <c r="EI140" s="42"/>
      <c r="EJ140" s="42"/>
      <c r="EK140" s="42"/>
      <c r="EL140" s="42"/>
      <c r="EM140" s="42"/>
      <c r="EN140" s="42"/>
      <c r="EO140" s="42"/>
      <c r="EP140" s="43"/>
      <c r="EQ140" s="43"/>
      <c r="ER140" s="43"/>
      <c r="ES140" s="43"/>
      <c r="ET140" s="43"/>
      <c r="EU140" s="43"/>
      <c r="EV140" s="42"/>
      <c r="EW140" s="42"/>
      <c r="EX140" s="42"/>
      <c r="EY140" s="42"/>
      <c r="EZ140" s="42"/>
      <c r="FA140" s="42"/>
      <c r="FB140" s="42"/>
      <c r="FC140" s="42"/>
      <c r="FD140" s="43"/>
      <c r="FE140" s="43"/>
      <c r="FF140" s="43"/>
      <c r="FG140" s="43"/>
      <c r="FH140" s="43"/>
      <c r="FI140" s="43"/>
      <c r="FJ140" s="42"/>
      <c r="FK140" s="42"/>
      <c r="FL140" s="42"/>
      <c r="FM140" s="42"/>
      <c r="FN140" s="42"/>
      <c r="FO140" s="42"/>
      <c r="FP140" s="42"/>
      <c r="FQ140" s="42"/>
      <c r="FR140" s="43"/>
      <c r="FS140" s="43"/>
      <c r="FT140" s="43"/>
      <c r="FU140" s="43"/>
      <c r="FV140" s="43"/>
      <c r="FW140" s="43"/>
      <c r="FX140" s="42"/>
      <c r="FY140" s="42"/>
      <c r="FZ140" s="42"/>
      <c r="GA140" s="42"/>
      <c r="GB140" s="42"/>
      <c r="GC140" s="42"/>
      <c r="GD140" s="42"/>
      <c r="GE140" s="42"/>
      <c r="GF140" s="43"/>
      <c r="GG140" s="43"/>
      <c r="GH140" s="43"/>
      <c r="GI140" s="43"/>
      <c r="GJ140" s="43"/>
      <c r="GK140" s="43"/>
      <c r="GL140" s="42"/>
      <c r="GM140" s="42"/>
      <c r="GN140" s="42"/>
      <c r="GO140" s="42"/>
      <c r="GP140" s="42"/>
      <c r="GQ140" s="42"/>
      <c r="GR140" s="42"/>
      <c r="GS140" s="42"/>
      <c r="GT140" s="43"/>
      <c r="GU140" s="43"/>
      <c r="GV140" s="43"/>
      <c r="GW140" s="43"/>
      <c r="GX140" s="43"/>
      <c r="GY140" s="43"/>
      <c r="GZ140" s="42"/>
      <c r="HA140" s="42"/>
      <c r="HB140" s="42"/>
      <c r="HC140" s="42"/>
      <c r="HD140" s="42"/>
      <c r="HE140" s="42"/>
      <c r="HF140" s="42"/>
      <c r="HG140" s="42"/>
      <c r="HH140" s="43"/>
      <c r="HI140" s="43"/>
      <c r="HJ140" s="43"/>
      <c r="HK140" s="43"/>
      <c r="HL140" s="43"/>
      <c r="HM140" s="43"/>
      <c r="HN140" s="42"/>
      <c r="HO140" s="42"/>
      <c r="HP140" s="42"/>
      <c r="HQ140" s="42"/>
      <c r="HR140" s="42"/>
      <c r="HS140" s="42"/>
      <c r="HT140" s="42"/>
      <c r="HU140" s="42"/>
      <c r="HV140" s="43"/>
      <c r="HW140" s="43"/>
      <c r="HX140" s="43"/>
      <c r="HY140" s="43"/>
      <c r="HZ140" s="43"/>
      <c r="IA140" s="43"/>
      <c r="IB140" s="42"/>
      <c r="IC140" s="42"/>
      <c r="ID140" s="42"/>
      <c r="IE140" s="42"/>
      <c r="IF140" s="42"/>
      <c r="IG140" s="42"/>
      <c r="IH140" s="42"/>
      <c r="II140" s="42"/>
      <c r="IJ140" s="43"/>
      <c r="IK140" s="43"/>
      <c r="IL140" s="43"/>
      <c r="IM140" s="43"/>
      <c r="IN140" s="43"/>
      <c r="IO140" s="43"/>
      <c r="IP140" s="42"/>
      <c r="IQ140" s="42"/>
      <c r="IR140" s="42"/>
      <c r="IS140" s="42"/>
      <c r="IT140" s="42"/>
      <c r="IU140" s="42"/>
      <c r="IV140" s="42"/>
      <c r="IW140" s="42"/>
      <c r="IX140" s="43"/>
      <c r="IY140" s="43"/>
      <c r="IZ140" s="43"/>
      <c r="JA140" s="43"/>
      <c r="JB140" s="43"/>
      <c r="JC140" s="43"/>
      <c r="JD140" s="42"/>
      <c r="JE140" s="42"/>
      <c r="JF140" s="42"/>
      <c r="JG140" s="42"/>
      <c r="JH140" s="42"/>
      <c r="JI140" s="42"/>
      <c r="JJ140" s="42"/>
      <c r="JK140" s="42"/>
      <c r="JL140" s="43"/>
      <c r="JM140" s="43"/>
      <c r="JN140" s="43"/>
      <c r="JO140" s="43"/>
      <c r="JP140" s="43"/>
      <c r="JQ140" s="43"/>
      <c r="JR140" s="42"/>
      <c r="JS140" s="42"/>
      <c r="JT140" s="42"/>
      <c r="JU140" s="42"/>
      <c r="JV140" s="42"/>
      <c r="JW140" s="42"/>
      <c r="JX140" s="42"/>
      <c r="JY140" s="42"/>
      <c r="JZ140" s="43"/>
      <c r="KA140" s="43"/>
      <c r="KB140" s="43"/>
      <c r="KC140" s="43"/>
      <c r="KD140" s="43"/>
      <c r="KE140" s="43"/>
      <c r="KF140" s="42"/>
      <c r="KG140" s="42"/>
      <c r="KH140" s="42"/>
      <c r="KI140" s="42"/>
      <c r="KJ140" s="42"/>
      <c r="KK140" s="42"/>
      <c r="KL140" s="42"/>
      <c r="KM140" s="42"/>
      <c r="KN140" s="43"/>
      <c r="KO140" s="43"/>
      <c r="KP140" s="43"/>
      <c r="KQ140" s="43"/>
      <c r="KR140" s="43"/>
      <c r="KS140" s="43"/>
      <c r="KT140" s="42"/>
      <c r="KU140" s="42"/>
      <c r="KV140" s="42"/>
      <c r="KW140" s="42"/>
      <c r="KX140" s="42"/>
      <c r="KY140" s="42"/>
      <c r="KZ140" s="42"/>
      <c r="LA140" s="42"/>
      <c r="LB140" s="43"/>
      <c r="LC140" s="43"/>
      <c r="LD140" s="43"/>
      <c r="LE140" s="43"/>
      <c r="LF140" s="43"/>
      <c r="LG140" s="43"/>
      <c r="LH140" s="42"/>
      <c r="LI140" s="42"/>
      <c r="LJ140" s="42"/>
      <c r="LK140" s="42"/>
      <c r="LL140" s="42"/>
      <c r="LM140" s="42"/>
      <c r="LN140" s="42"/>
      <c r="LO140" s="42"/>
      <c r="LP140" s="43"/>
      <c r="LQ140" s="43"/>
      <c r="LR140" s="43"/>
      <c r="LS140" s="43"/>
      <c r="LT140" s="43"/>
      <c r="LU140" s="43"/>
      <c r="LV140" s="42"/>
      <c r="LW140" s="42"/>
      <c r="LX140" s="42"/>
      <c r="LY140" s="42"/>
      <c r="LZ140" s="42"/>
      <c r="MA140" s="42"/>
      <c r="MB140" s="42"/>
      <c r="MC140" s="42"/>
      <c r="MD140" s="43"/>
      <c r="ME140" s="43"/>
      <c r="MF140" s="43"/>
      <c r="MG140" s="43"/>
      <c r="MH140" s="43"/>
      <c r="MI140" s="43"/>
      <c r="MJ140" s="42"/>
      <c r="MK140" s="42"/>
      <c r="ML140" s="42"/>
      <c r="MM140" s="42"/>
      <c r="MN140" s="42"/>
      <c r="MO140" s="42"/>
      <c r="MP140" s="42"/>
      <c r="MQ140" s="42"/>
      <c r="MR140" s="43"/>
      <c r="MS140" s="43"/>
      <c r="MT140" s="43"/>
      <c r="MU140" s="43"/>
      <c r="MV140" s="43"/>
      <c r="MW140" s="43"/>
      <c r="MX140" s="42"/>
      <c r="MY140" s="42"/>
      <c r="MZ140" s="42"/>
      <c r="NA140" s="42"/>
      <c r="NB140" s="42"/>
      <c r="NC140" s="42"/>
      <c r="ND140" s="42"/>
      <c r="NE140" s="42"/>
      <c r="NF140" s="43"/>
      <c r="NG140" s="43"/>
      <c r="NH140" s="43"/>
      <c r="NI140" s="43"/>
      <c r="NJ140" s="43"/>
      <c r="NK140" s="43"/>
      <c r="NL140" s="42"/>
      <c r="NM140" s="42"/>
      <c r="NN140" s="42"/>
      <c r="NO140" s="42"/>
      <c r="NP140" s="42"/>
      <c r="NQ140" s="42"/>
      <c r="NR140" s="42"/>
      <c r="NS140" s="42"/>
      <c r="NT140" s="43"/>
      <c r="NU140" s="43"/>
      <c r="NV140" s="43"/>
      <c r="NW140" s="43"/>
      <c r="NX140" s="43"/>
      <c r="NY140" s="43"/>
      <c r="NZ140" s="42"/>
      <c r="OA140" s="42"/>
      <c r="OB140" s="42"/>
      <c r="OC140" s="42"/>
      <c r="OD140" s="42"/>
      <c r="OE140" s="42"/>
      <c r="OF140" s="42"/>
      <c r="OG140" s="42"/>
      <c r="OH140" s="43"/>
      <c r="OI140" s="43"/>
      <c r="OJ140" s="43"/>
      <c r="OK140" s="43"/>
      <c r="OL140" s="43"/>
      <c r="OM140" s="43"/>
      <c r="ON140" s="42"/>
      <c r="OO140" s="42"/>
      <c r="OP140" s="42"/>
      <c r="OQ140" s="42"/>
      <c r="OR140" s="42"/>
      <c r="OS140" s="42"/>
      <c r="OT140" s="42"/>
      <c r="OU140" s="42"/>
      <c r="OV140" s="43"/>
      <c r="OW140" s="43"/>
      <c r="OX140" s="43"/>
      <c r="OY140" s="43"/>
      <c r="OZ140" s="43"/>
      <c r="PA140" s="43"/>
      <c r="PB140" s="42"/>
      <c r="PC140" s="42"/>
      <c r="PD140" s="42"/>
      <c r="PE140" s="42"/>
      <c r="PF140" s="42"/>
      <c r="PG140" s="42"/>
      <c r="PH140" s="42"/>
      <c r="PI140" s="42"/>
      <c r="PJ140" s="43"/>
      <c r="PK140" s="43"/>
      <c r="PL140" s="43"/>
      <c r="PM140" s="43"/>
      <c r="PN140" s="43"/>
      <c r="PO140" s="43"/>
      <c r="PP140" s="42"/>
      <c r="PQ140" s="42"/>
      <c r="PR140" s="42"/>
      <c r="PS140" s="42"/>
      <c r="PT140" s="42"/>
      <c r="PU140" s="42"/>
      <c r="PV140" s="42"/>
      <c r="PW140" s="42"/>
      <c r="PX140" s="43"/>
      <c r="PY140" s="43"/>
      <c r="PZ140" s="43"/>
      <c r="QA140" s="43"/>
      <c r="QB140" s="43"/>
      <c r="QC140" s="43"/>
      <c r="QD140" s="42"/>
      <c r="QE140" s="42"/>
      <c r="QF140" s="42"/>
      <c r="QG140" s="42"/>
      <c r="QH140" s="42"/>
      <c r="QI140" s="42"/>
      <c r="QJ140" s="42"/>
      <c r="QK140" s="42"/>
      <c r="QL140" s="43"/>
      <c r="QM140" s="43"/>
      <c r="QN140" s="43"/>
      <c r="QO140" s="43"/>
      <c r="QP140" s="43"/>
      <c r="QQ140" s="43"/>
      <c r="QR140" s="42"/>
      <c r="QS140" s="42"/>
      <c r="QT140" s="42"/>
      <c r="QU140" s="42"/>
      <c r="QV140" s="42"/>
      <c r="QW140" s="42"/>
      <c r="QX140" s="42"/>
      <c r="QY140" s="42"/>
      <c r="QZ140" s="43"/>
      <c r="RA140" s="43"/>
      <c r="RB140" s="43"/>
      <c r="RC140" s="43"/>
      <c r="RD140" s="43"/>
      <c r="RE140" s="43"/>
      <c r="RF140" s="42"/>
      <c r="RG140" s="42"/>
      <c r="RH140" s="42"/>
      <c r="RI140" s="42"/>
      <c r="RJ140" s="42"/>
      <c r="RK140" s="42"/>
      <c r="RL140" s="42"/>
      <c r="RM140" s="42"/>
      <c r="RN140" s="43"/>
      <c r="RO140" s="43"/>
      <c r="RP140" s="43"/>
      <c r="RQ140" s="43"/>
      <c r="RR140" s="43"/>
      <c r="RS140" s="43"/>
      <c r="RT140" s="42"/>
      <c r="RU140" s="42"/>
      <c r="RV140" s="42"/>
      <c r="RW140" s="42"/>
      <c r="RX140" s="42"/>
      <c r="RY140" s="42"/>
      <c r="RZ140" s="42"/>
    </row>
    <row r="141" spans="1:494" ht="80.25" customHeight="1" thickBot="1" x14ac:dyDescent="0.3">
      <c r="A141" s="44" t="s">
        <v>49</v>
      </c>
      <c r="B141" s="9" t="s">
        <v>62</v>
      </c>
      <c r="C141" s="9" t="s">
        <v>6</v>
      </c>
      <c r="D141" s="7">
        <f t="shared" si="53"/>
        <v>130275970.77000001</v>
      </c>
      <c r="E141" s="7">
        <v>0</v>
      </c>
      <c r="F141" s="7">
        <v>0</v>
      </c>
      <c r="G141" s="7">
        <v>0</v>
      </c>
      <c r="H141" s="7">
        <v>0</v>
      </c>
      <c r="I141" s="7">
        <v>31472560.379999999</v>
      </c>
      <c r="J141" s="7">
        <f>41152725.43+500</f>
        <v>41153225.43</v>
      </c>
      <c r="K141" s="7">
        <v>28825092.48</v>
      </c>
      <c r="L141" s="7">
        <v>28825092.48</v>
      </c>
      <c r="M141" s="42"/>
      <c r="N141" s="42"/>
      <c r="O141" s="42"/>
      <c r="P141" s="42"/>
      <c r="Q141" s="42"/>
      <c r="R141" s="42"/>
      <c r="S141" s="42"/>
      <c r="T141" s="43"/>
      <c r="U141" s="43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  <c r="AI141" s="43"/>
      <c r="AJ141" s="43"/>
      <c r="AK141" s="43"/>
      <c r="AL141" s="43"/>
      <c r="AM141" s="43"/>
      <c r="AN141" s="42"/>
      <c r="AO141" s="42"/>
      <c r="AP141" s="42"/>
      <c r="AQ141" s="42"/>
      <c r="AR141" s="42"/>
      <c r="AS141" s="42"/>
      <c r="AT141" s="42"/>
      <c r="AU141" s="42"/>
      <c r="AV141" s="43"/>
      <c r="AW141" s="43"/>
      <c r="AX141" s="43"/>
      <c r="AY141" s="43"/>
      <c r="AZ141" s="43"/>
      <c r="BA141" s="43"/>
      <c r="BB141" s="42"/>
      <c r="BC141" s="42"/>
      <c r="BD141" s="42"/>
      <c r="BE141" s="42"/>
      <c r="BF141" s="42"/>
      <c r="BG141" s="42"/>
      <c r="BH141" s="42"/>
      <c r="BI141" s="42"/>
      <c r="BJ141" s="43"/>
      <c r="BK141" s="43"/>
      <c r="BL141" s="43"/>
      <c r="BM141" s="43"/>
      <c r="BN141" s="43"/>
      <c r="BO141" s="43"/>
      <c r="BP141" s="42"/>
      <c r="BQ141" s="42"/>
      <c r="BR141" s="42"/>
      <c r="BS141" s="42"/>
      <c r="BT141" s="42"/>
      <c r="BU141" s="42"/>
      <c r="BV141" s="42"/>
      <c r="BW141" s="42"/>
      <c r="BX141" s="43"/>
      <c r="BY141" s="43"/>
      <c r="BZ141" s="43"/>
      <c r="CA141" s="43"/>
      <c r="CB141" s="43"/>
      <c r="CC141" s="43"/>
      <c r="CD141" s="42"/>
      <c r="CE141" s="42"/>
      <c r="CF141" s="42"/>
      <c r="CG141" s="42"/>
      <c r="CH141" s="42"/>
      <c r="CI141" s="42"/>
      <c r="CJ141" s="42"/>
      <c r="CK141" s="42"/>
      <c r="CL141" s="43"/>
      <c r="CM141" s="43"/>
      <c r="CN141" s="43"/>
      <c r="CO141" s="43"/>
      <c r="CP141" s="43"/>
      <c r="CQ141" s="43"/>
      <c r="CR141" s="42"/>
      <c r="CS141" s="42"/>
      <c r="CT141" s="42"/>
      <c r="CU141" s="42"/>
      <c r="CV141" s="42"/>
      <c r="CW141" s="42"/>
      <c r="CX141" s="42"/>
      <c r="CY141" s="42"/>
      <c r="CZ141" s="43"/>
      <c r="DA141" s="43"/>
      <c r="DB141" s="43"/>
      <c r="DC141" s="43"/>
      <c r="DD141" s="43"/>
      <c r="DE141" s="43"/>
      <c r="DF141" s="42"/>
      <c r="DG141" s="42"/>
      <c r="DH141" s="42"/>
      <c r="DI141" s="42"/>
      <c r="DJ141" s="42"/>
      <c r="DK141" s="42"/>
      <c r="DL141" s="42"/>
      <c r="DM141" s="42"/>
      <c r="DN141" s="43"/>
      <c r="DO141" s="43"/>
      <c r="DP141" s="43"/>
      <c r="DQ141" s="43"/>
      <c r="DR141" s="43"/>
      <c r="DS141" s="43"/>
      <c r="DT141" s="42"/>
      <c r="DU141" s="42"/>
      <c r="DV141" s="42"/>
      <c r="DW141" s="42"/>
      <c r="DX141" s="42"/>
      <c r="DY141" s="42"/>
      <c r="DZ141" s="42"/>
      <c r="EA141" s="42"/>
      <c r="EB141" s="43"/>
      <c r="EC141" s="43"/>
      <c r="ED141" s="43"/>
      <c r="EE141" s="43"/>
      <c r="EF141" s="43"/>
      <c r="EG141" s="43"/>
      <c r="EH141" s="42"/>
      <c r="EI141" s="42"/>
      <c r="EJ141" s="42"/>
      <c r="EK141" s="42"/>
      <c r="EL141" s="42"/>
      <c r="EM141" s="42"/>
      <c r="EN141" s="42"/>
      <c r="EO141" s="42"/>
      <c r="EP141" s="43"/>
      <c r="EQ141" s="43"/>
      <c r="ER141" s="43"/>
      <c r="ES141" s="43"/>
      <c r="ET141" s="43"/>
      <c r="EU141" s="43"/>
      <c r="EV141" s="42"/>
      <c r="EW141" s="42"/>
      <c r="EX141" s="42"/>
      <c r="EY141" s="42"/>
      <c r="EZ141" s="42"/>
      <c r="FA141" s="42"/>
      <c r="FB141" s="42"/>
      <c r="FC141" s="42"/>
      <c r="FD141" s="43"/>
      <c r="FE141" s="43"/>
      <c r="FF141" s="43"/>
      <c r="FG141" s="43"/>
      <c r="FH141" s="43"/>
      <c r="FI141" s="43"/>
      <c r="FJ141" s="42"/>
      <c r="FK141" s="42"/>
      <c r="FL141" s="42"/>
      <c r="FM141" s="42"/>
      <c r="FN141" s="42"/>
      <c r="FO141" s="42"/>
      <c r="FP141" s="42"/>
      <c r="FQ141" s="42"/>
      <c r="FR141" s="43"/>
      <c r="FS141" s="43"/>
      <c r="FT141" s="43"/>
      <c r="FU141" s="43"/>
      <c r="FV141" s="43"/>
      <c r="FW141" s="43"/>
      <c r="FX141" s="42"/>
      <c r="FY141" s="42"/>
      <c r="FZ141" s="42"/>
      <c r="GA141" s="42"/>
      <c r="GB141" s="42"/>
      <c r="GC141" s="42"/>
      <c r="GD141" s="42"/>
      <c r="GE141" s="42"/>
      <c r="GF141" s="43"/>
      <c r="GG141" s="43"/>
      <c r="GH141" s="43"/>
      <c r="GI141" s="43"/>
      <c r="GJ141" s="43"/>
      <c r="GK141" s="43"/>
      <c r="GL141" s="42"/>
      <c r="GM141" s="42"/>
      <c r="GN141" s="42"/>
      <c r="GO141" s="42"/>
      <c r="GP141" s="42"/>
      <c r="GQ141" s="42"/>
      <c r="GR141" s="42"/>
      <c r="GS141" s="42"/>
      <c r="GT141" s="43"/>
      <c r="GU141" s="43"/>
      <c r="GV141" s="43"/>
      <c r="GW141" s="43"/>
      <c r="GX141" s="43"/>
      <c r="GY141" s="43"/>
      <c r="GZ141" s="42"/>
      <c r="HA141" s="42"/>
      <c r="HB141" s="42"/>
      <c r="HC141" s="42"/>
      <c r="HD141" s="42"/>
      <c r="HE141" s="42"/>
      <c r="HF141" s="42"/>
      <c r="HG141" s="42"/>
      <c r="HH141" s="43"/>
      <c r="HI141" s="43"/>
      <c r="HJ141" s="43"/>
      <c r="HK141" s="43"/>
      <c r="HL141" s="43"/>
      <c r="HM141" s="43"/>
      <c r="HN141" s="42"/>
      <c r="HO141" s="42"/>
      <c r="HP141" s="42"/>
      <c r="HQ141" s="42"/>
      <c r="HR141" s="42"/>
      <c r="HS141" s="42"/>
      <c r="HT141" s="42"/>
      <c r="HU141" s="42"/>
      <c r="HV141" s="43"/>
      <c r="HW141" s="43"/>
      <c r="HX141" s="43"/>
      <c r="HY141" s="43"/>
      <c r="HZ141" s="43"/>
      <c r="IA141" s="43"/>
      <c r="IB141" s="42"/>
      <c r="IC141" s="42"/>
      <c r="ID141" s="42"/>
      <c r="IE141" s="42"/>
      <c r="IF141" s="42"/>
      <c r="IG141" s="42"/>
      <c r="IH141" s="42"/>
      <c r="II141" s="42"/>
      <c r="IJ141" s="43"/>
      <c r="IK141" s="43"/>
      <c r="IL141" s="43"/>
      <c r="IM141" s="43"/>
      <c r="IN141" s="43"/>
      <c r="IO141" s="43"/>
      <c r="IP141" s="42"/>
      <c r="IQ141" s="42"/>
      <c r="IR141" s="42"/>
      <c r="IS141" s="42"/>
      <c r="IT141" s="42"/>
      <c r="IU141" s="42"/>
      <c r="IV141" s="42"/>
      <c r="IW141" s="42"/>
      <c r="IX141" s="43"/>
      <c r="IY141" s="43"/>
      <c r="IZ141" s="43"/>
      <c r="JA141" s="43"/>
      <c r="JB141" s="43"/>
      <c r="JC141" s="43"/>
      <c r="JD141" s="42"/>
      <c r="JE141" s="42"/>
      <c r="JF141" s="42"/>
      <c r="JG141" s="42"/>
      <c r="JH141" s="42"/>
      <c r="JI141" s="42"/>
      <c r="JJ141" s="42"/>
      <c r="JK141" s="42"/>
      <c r="JL141" s="43"/>
      <c r="JM141" s="43"/>
      <c r="JN141" s="43"/>
      <c r="JO141" s="43"/>
      <c r="JP141" s="43"/>
      <c r="JQ141" s="43"/>
      <c r="JR141" s="42"/>
      <c r="JS141" s="42"/>
      <c r="JT141" s="42"/>
      <c r="JU141" s="42"/>
      <c r="JV141" s="42"/>
      <c r="JW141" s="42"/>
      <c r="JX141" s="42"/>
      <c r="JY141" s="42"/>
      <c r="JZ141" s="43"/>
      <c r="KA141" s="43"/>
      <c r="KB141" s="43"/>
      <c r="KC141" s="43"/>
      <c r="KD141" s="43"/>
      <c r="KE141" s="43"/>
      <c r="KF141" s="42"/>
      <c r="KG141" s="42"/>
      <c r="KH141" s="42"/>
      <c r="KI141" s="42"/>
      <c r="KJ141" s="42"/>
      <c r="KK141" s="42"/>
      <c r="KL141" s="42"/>
      <c r="KM141" s="42"/>
      <c r="KN141" s="43"/>
      <c r="KO141" s="43"/>
      <c r="KP141" s="43"/>
      <c r="KQ141" s="43"/>
      <c r="KR141" s="43"/>
      <c r="KS141" s="43"/>
      <c r="KT141" s="42"/>
      <c r="KU141" s="42"/>
      <c r="KV141" s="42"/>
      <c r="KW141" s="42"/>
      <c r="KX141" s="42"/>
      <c r="KY141" s="42"/>
      <c r="KZ141" s="42"/>
      <c r="LA141" s="42"/>
      <c r="LB141" s="43"/>
      <c r="LC141" s="43"/>
      <c r="LD141" s="43"/>
      <c r="LE141" s="43"/>
      <c r="LF141" s="43"/>
      <c r="LG141" s="43"/>
      <c r="LH141" s="42"/>
      <c r="LI141" s="42"/>
      <c r="LJ141" s="42"/>
      <c r="LK141" s="42"/>
      <c r="LL141" s="42"/>
      <c r="LM141" s="42"/>
      <c r="LN141" s="42"/>
      <c r="LO141" s="42"/>
      <c r="LP141" s="43"/>
      <c r="LQ141" s="43"/>
      <c r="LR141" s="43"/>
      <c r="LS141" s="43"/>
      <c r="LT141" s="43"/>
      <c r="LU141" s="43"/>
      <c r="LV141" s="42"/>
      <c r="LW141" s="42"/>
      <c r="LX141" s="42"/>
      <c r="LY141" s="42"/>
      <c r="LZ141" s="42"/>
      <c r="MA141" s="42"/>
      <c r="MB141" s="42"/>
      <c r="MC141" s="42"/>
      <c r="MD141" s="43"/>
      <c r="ME141" s="43"/>
      <c r="MF141" s="43"/>
      <c r="MG141" s="43"/>
      <c r="MH141" s="43"/>
      <c r="MI141" s="43"/>
      <c r="MJ141" s="42"/>
      <c r="MK141" s="42"/>
      <c r="ML141" s="42"/>
      <c r="MM141" s="42"/>
      <c r="MN141" s="42"/>
      <c r="MO141" s="42"/>
      <c r="MP141" s="42"/>
      <c r="MQ141" s="42"/>
      <c r="MR141" s="43"/>
      <c r="MS141" s="43"/>
      <c r="MT141" s="43"/>
      <c r="MU141" s="43"/>
      <c r="MV141" s="43"/>
      <c r="MW141" s="43"/>
      <c r="MX141" s="42"/>
      <c r="MY141" s="42"/>
      <c r="MZ141" s="42"/>
      <c r="NA141" s="42"/>
      <c r="NB141" s="42"/>
      <c r="NC141" s="42"/>
      <c r="ND141" s="42"/>
      <c r="NE141" s="42"/>
      <c r="NF141" s="43"/>
      <c r="NG141" s="43"/>
      <c r="NH141" s="43"/>
      <c r="NI141" s="43"/>
      <c r="NJ141" s="43"/>
      <c r="NK141" s="43"/>
      <c r="NL141" s="42"/>
      <c r="NM141" s="42"/>
      <c r="NN141" s="42"/>
      <c r="NO141" s="42"/>
      <c r="NP141" s="42"/>
      <c r="NQ141" s="42"/>
      <c r="NR141" s="42"/>
      <c r="NS141" s="42"/>
      <c r="NT141" s="43"/>
      <c r="NU141" s="43"/>
      <c r="NV141" s="43"/>
      <c r="NW141" s="43"/>
      <c r="NX141" s="43"/>
      <c r="NY141" s="43"/>
      <c r="NZ141" s="42"/>
      <c r="OA141" s="42"/>
      <c r="OB141" s="42"/>
      <c r="OC141" s="42"/>
      <c r="OD141" s="42"/>
      <c r="OE141" s="42"/>
      <c r="OF141" s="42"/>
      <c r="OG141" s="42"/>
      <c r="OH141" s="43"/>
      <c r="OI141" s="43"/>
      <c r="OJ141" s="43"/>
      <c r="OK141" s="43"/>
      <c r="OL141" s="43"/>
      <c r="OM141" s="43"/>
      <c r="ON141" s="42"/>
      <c r="OO141" s="42"/>
      <c r="OP141" s="42"/>
      <c r="OQ141" s="42"/>
      <c r="OR141" s="42"/>
      <c r="OS141" s="42"/>
      <c r="OT141" s="42"/>
      <c r="OU141" s="42"/>
      <c r="OV141" s="43"/>
      <c r="OW141" s="43"/>
      <c r="OX141" s="43"/>
      <c r="OY141" s="43"/>
      <c r="OZ141" s="43"/>
      <c r="PA141" s="43"/>
      <c r="PB141" s="42"/>
      <c r="PC141" s="42"/>
      <c r="PD141" s="42"/>
      <c r="PE141" s="42"/>
      <c r="PF141" s="42"/>
      <c r="PG141" s="42"/>
      <c r="PH141" s="42"/>
      <c r="PI141" s="42"/>
      <c r="PJ141" s="43"/>
      <c r="PK141" s="43"/>
      <c r="PL141" s="43"/>
      <c r="PM141" s="43"/>
      <c r="PN141" s="43"/>
      <c r="PO141" s="43"/>
      <c r="PP141" s="42"/>
      <c r="PQ141" s="42"/>
      <c r="PR141" s="42"/>
      <c r="PS141" s="42"/>
      <c r="PT141" s="42"/>
      <c r="PU141" s="42"/>
      <c r="PV141" s="42"/>
      <c r="PW141" s="42"/>
      <c r="PX141" s="43"/>
      <c r="PY141" s="43"/>
      <c r="PZ141" s="43"/>
      <c r="QA141" s="43"/>
      <c r="QB141" s="43"/>
      <c r="QC141" s="43"/>
      <c r="QD141" s="42"/>
      <c r="QE141" s="42"/>
      <c r="QF141" s="42"/>
      <c r="QG141" s="42"/>
      <c r="QH141" s="42"/>
      <c r="QI141" s="42"/>
      <c r="QJ141" s="42"/>
      <c r="QK141" s="42"/>
      <c r="QL141" s="43"/>
      <c r="QM141" s="43"/>
      <c r="QN141" s="43"/>
      <c r="QO141" s="43"/>
      <c r="QP141" s="43"/>
      <c r="QQ141" s="43"/>
      <c r="QR141" s="42"/>
      <c r="QS141" s="42"/>
      <c r="QT141" s="42"/>
      <c r="QU141" s="42"/>
      <c r="QV141" s="42"/>
      <c r="QW141" s="42"/>
      <c r="QX141" s="42"/>
      <c r="QY141" s="42"/>
      <c r="QZ141" s="43"/>
      <c r="RA141" s="43"/>
      <c r="RB141" s="43"/>
      <c r="RC141" s="43"/>
      <c r="RD141" s="43"/>
      <c r="RE141" s="43"/>
      <c r="RF141" s="42"/>
      <c r="RG141" s="42"/>
      <c r="RH141" s="42"/>
      <c r="RI141" s="42"/>
      <c r="RJ141" s="42"/>
      <c r="RK141" s="42"/>
      <c r="RL141" s="42"/>
      <c r="RM141" s="42"/>
      <c r="RN141" s="43"/>
      <c r="RO141" s="43"/>
      <c r="RP141" s="43"/>
      <c r="RQ141" s="43"/>
      <c r="RR141" s="43"/>
      <c r="RS141" s="43"/>
      <c r="RT141" s="42"/>
      <c r="RU141" s="42"/>
      <c r="RV141" s="42"/>
      <c r="RW141" s="42"/>
      <c r="RX141" s="42"/>
      <c r="RY141" s="42"/>
      <c r="RZ141" s="42"/>
    </row>
    <row r="142" spans="1:494" ht="50.1" customHeight="1" x14ac:dyDescent="0.25">
      <c r="A142" s="58" t="s">
        <v>47</v>
      </c>
      <c r="B142" s="10" t="s">
        <v>9</v>
      </c>
      <c r="C142" s="10" t="s">
        <v>17</v>
      </c>
      <c r="D142" s="7">
        <f t="shared" ref="D142:D143" si="54">SUM(E142:K142)</f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42"/>
      <c r="N142" s="42"/>
      <c r="O142" s="42"/>
      <c r="P142" s="42"/>
      <c r="Q142" s="42"/>
      <c r="R142" s="42"/>
      <c r="S142" s="42"/>
      <c r="T142" s="43"/>
      <c r="U142" s="43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  <c r="AI142" s="43"/>
      <c r="AJ142" s="43"/>
      <c r="AK142" s="43"/>
      <c r="AL142" s="43"/>
      <c r="AM142" s="43"/>
      <c r="AN142" s="42"/>
      <c r="AO142" s="42"/>
      <c r="AP142" s="42"/>
      <c r="AQ142" s="42"/>
      <c r="AR142" s="42"/>
      <c r="AS142" s="42"/>
      <c r="AT142" s="42"/>
      <c r="AU142" s="42"/>
      <c r="AV142" s="43"/>
      <c r="AW142" s="43"/>
      <c r="AX142" s="43"/>
      <c r="AY142" s="43"/>
      <c r="AZ142" s="43"/>
      <c r="BA142" s="43"/>
      <c r="BB142" s="42"/>
      <c r="BC142" s="42"/>
      <c r="BD142" s="42"/>
      <c r="BE142" s="42"/>
      <c r="BF142" s="42"/>
      <c r="BG142" s="42"/>
      <c r="BH142" s="42"/>
      <c r="BI142" s="42"/>
      <c r="BJ142" s="43"/>
      <c r="BK142" s="43"/>
      <c r="BL142" s="43"/>
      <c r="BM142" s="43"/>
      <c r="BN142" s="43"/>
      <c r="BO142" s="43"/>
      <c r="BP142" s="42"/>
      <c r="BQ142" s="42"/>
      <c r="BR142" s="42"/>
      <c r="BS142" s="42"/>
      <c r="BT142" s="42"/>
      <c r="BU142" s="42"/>
      <c r="BV142" s="42"/>
      <c r="BW142" s="42"/>
      <c r="BX142" s="43"/>
      <c r="BY142" s="43"/>
      <c r="BZ142" s="43"/>
      <c r="CA142" s="43"/>
      <c r="CB142" s="43"/>
      <c r="CC142" s="43"/>
      <c r="CD142" s="42"/>
      <c r="CE142" s="42"/>
      <c r="CF142" s="42"/>
      <c r="CG142" s="42"/>
      <c r="CH142" s="42"/>
      <c r="CI142" s="42"/>
      <c r="CJ142" s="42"/>
      <c r="CK142" s="42"/>
      <c r="CL142" s="43"/>
      <c r="CM142" s="43"/>
      <c r="CN142" s="43"/>
      <c r="CO142" s="43"/>
      <c r="CP142" s="43"/>
      <c r="CQ142" s="43"/>
      <c r="CR142" s="42"/>
      <c r="CS142" s="42"/>
      <c r="CT142" s="42"/>
      <c r="CU142" s="42"/>
      <c r="CV142" s="42"/>
      <c r="CW142" s="42"/>
      <c r="CX142" s="42"/>
      <c r="CY142" s="42"/>
      <c r="CZ142" s="43"/>
      <c r="DA142" s="43"/>
      <c r="DB142" s="43"/>
      <c r="DC142" s="43"/>
      <c r="DD142" s="43"/>
      <c r="DE142" s="43"/>
      <c r="DF142" s="42"/>
      <c r="DG142" s="42"/>
      <c r="DH142" s="42"/>
      <c r="DI142" s="42"/>
      <c r="DJ142" s="42"/>
      <c r="DK142" s="42"/>
      <c r="DL142" s="42"/>
      <c r="DM142" s="42"/>
      <c r="DN142" s="43"/>
      <c r="DO142" s="43"/>
      <c r="DP142" s="43"/>
      <c r="DQ142" s="43"/>
      <c r="DR142" s="43"/>
      <c r="DS142" s="43"/>
      <c r="DT142" s="42"/>
      <c r="DU142" s="42"/>
      <c r="DV142" s="42"/>
      <c r="DW142" s="42"/>
      <c r="DX142" s="42"/>
      <c r="DY142" s="42"/>
      <c r="DZ142" s="42"/>
      <c r="EA142" s="42"/>
      <c r="EB142" s="43"/>
      <c r="EC142" s="43"/>
      <c r="ED142" s="43"/>
      <c r="EE142" s="43"/>
      <c r="EF142" s="43"/>
      <c r="EG142" s="43"/>
      <c r="EH142" s="42"/>
      <c r="EI142" s="42"/>
      <c r="EJ142" s="42"/>
      <c r="EK142" s="42"/>
      <c r="EL142" s="42"/>
      <c r="EM142" s="42"/>
      <c r="EN142" s="42"/>
      <c r="EO142" s="42"/>
      <c r="EP142" s="43"/>
      <c r="EQ142" s="43"/>
      <c r="ER142" s="43"/>
      <c r="ES142" s="43"/>
      <c r="ET142" s="43"/>
      <c r="EU142" s="43"/>
      <c r="EV142" s="42"/>
      <c r="EW142" s="42"/>
      <c r="EX142" s="42"/>
      <c r="EY142" s="42"/>
      <c r="EZ142" s="42"/>
      <c r="FA142" s="42"/>
      <c r="FB142" s="42"/>
      <c r="FC142" s="42"/>
      <c r="FD142" s="43"/>
      <c r="FE142" s="43"/>
      <c r="FF142" s="43"/>
      <c r="FG142" s="43"/>
      <c r="FH142" s="43"/>
      <c r="FI142" s="43"/>
      <c r="FJ142" s="42"/>
      <c r="FK142" s="42"/>
      <c r="FL142" s="42"/>
      <c r="FM142" s="42"/>
      <c r="FN142" s="42"/>
      <c r="FO142" s="42"/>
      <c r="FP142" s="42"/>
      <c r="FQ142" s="42"/>
      <c r="FR142" s="43"/>
      <c r="FS142" s="43"/>
      <c r="FT142" s="43"/>
      <c r="FU142" s="43"/>
      <c r="FV142" s="43"/>
      <c r="FW142" s="43"/>
      <c r="FX142" s="42"/>
      <c r="FY142" s="42"/>
      <c r="FZ142" s="42"/>
      <c r="GA142" s="42"/>
      <c r="GB142" s="42"/>
      <c r="GC142" s="42"/>
      <c r="GD142" s="42"/>
      <c r="GE142" s="42"/>
      <c r="GF142" s="43"/>
      <c r="GG142" s="43"/>
      <c r="GH142" s="43"/>
      <c r="GI142" s="43"/>
      <c r="GJ142" s="43"/>
      <c r="GK142" s="43"/>
      <c r="GL142" s="42"/>
      <c r="GM142" s="42"/>
      <c r="GN142" s="42"/>
      <c r="GO142" s="42"/>
      <c r="GP142" s="42"/>
      <c r="GQ142" s="42"/>
      <c r="GR142" s="42"/>
      <c r="GS142" s="42"/>
      <c r="GT142" s="43"/>
      <c r="GU142" s="43"/>
      <c r="GV142" s="43"/>
      <c r="GW142" s="43"/>
      <c r="GX142" s="43"/>
      <c r="GY142" s="43"/>
      <c r="GZ142" s="42"/>
      <c r="HA142" s="42"/>
      <c r="HB142" s="42"/>
      <c r="HC142" s="42"/>
      <c r="HD142" s="42"/>
      <c r="HE142" s="42"/>
      <c r="HF142" s="42"/>
      <c r="HG142" s="42"/>
      <c r="HH142" s="43"/>
      <c r="HI142" s="43"/>
      <c r="HJ142" s="43"/>
      <c r="HK142" s="43"/>
      <c r="HL142" s="43"/>
      <c r="HM142" s="43"/>
      <c r="HN142" s="42"/>
      <c r="HO142" s="42"/>
      <c r="HP142" s="42"/>
      <c r="HQ142" s="42"/>
      <c r="HR142" s="42"/>
      <c r="HS142" s="42"/>
      <c r="HT142" s="42"/>
      <c r="HU142" s="42"/>
      <c r="HV142" s="43"/>
      <c r="HW142" s="43"/>
      <c r="HX142" s="43"/>
      <c r="HY142" s="43"/>
      <c r="HZ142" s="43"/>
      <c r="IA142" s="43"/>
      <c r="IB142" s="42"/>
      <c r="IC142" s="42"/>
      <c r="ID142" s="42"/>
      <c r="IE142" s="42"/>
      <c r="IF142" s="42"/>
      <c r="IG142" s="42"/>
      <c r="IH142" s="42"/>
      <c r="II142" s="42"/>
      <c r="IJ142" s="43"/>
      <c r="IK142" s="43"/>
      <c r="IL142" s="43"/>
      <c r="IM142" s="43"/>
      <c r="IN142" s="43"/>
      <c r="IO142" s="43"/>
      <c r="IP142" s="42"/>
      <c r="IQ142" s="42"/>
      <c r="IR142" s="42"/>
      <c r="IS142" s="42"/>
      <c r="IT142" s="42"/>
      <c r="IU142" s="42"/>
      <c r="IV142" s="42"/>
      <c r="IW142" s="42"/>
      <c r="IX142" s="43"/>
      <c r="IY142" s="43"/>
      <c r="IZ142" s="43"/>
      <c r="JA142" s="43"/>
      <c r="JB142" s="43"/>
      <c r="JC142" s="43"/>
      <c r="JD142" s="42"/>
      <c r="JE142" s="42"/>
      <c r="JF142" s="42"/>
      <c r="JG142" s="42"/>
      <c r="JH142" s="42"/>
      <c r="JI142" s="42"/>
      <c r="JJ142" s="42"/>
      <c r="JK142" s="42"/>
      <c r="JL142" s="43"/>
      <c r="JM142" s="43"/>
      <c r="JN142" s="43"/>
      <c r="JO142" s="43"/>
      <c r="JP142" s="43"/>
      <c r="JQ142" s="43"/>
      <c r="JR142" s="42"/>
      <c r="JS142" s="42"/>
      <c r="JT142" s="42"/>
      <c r="JU142" s="42"/>
      <c r="JV142" s="42"/>
      <c r="JW142" s="42"/>
      <c r="JX142" s="42"/>
      <c r="JY142" s="42"/>
      <c r="JZ142" s="43"/>
      <c r="KA142" s="43"/>
      <c r="KB142" s="43"/>
      <c r="KC142" s="43"/>
      <c r="KD142" s="43"/>
      <c r="KE142" s="43"/>
      <c r="KF142" s="42"/>
      <c r="KG142" s="42"/>
      <c r="KH142" s="42"/>
      <c r="KI142" s="42"/>
      <c r="KJ142" s="42"/>
      <c r="KK142" s="42"/>
      <c r="KL142" s="42"/>
      <c r="KM142" s="42"/>
      <c r="KN142" s="43"/>
      <c r="KO142" s="43"/>
      <c r="KP142" s="43"/>
      <c r="KQ142" s="43"/>
      <c r="KR142" s="43"/>
      <c r="KS142" s="43"/>
      <c r="KT142" s="42"/>
      <c r="KU142" s="42"/>
      <c r="KV142" s="42"/>
      <c r="KW142" s="42"/>
      <c r="KX142" s="42"/>
      <c r="KY142" s="42"/>
      <c r="KZ142" s="42"/>
      <c r="LA142" s="42"/>
      <c r="LB142" s="43"/>
      <c r="LC142" s="43"/>
      <c r="LD142" s="43"/>
      <c r="LE142" s="43"/>
      <c r="LF142" s="43"/>
      <c r="LG142" s="43"/>
      <c r="LH142" s="42"/>
      <c r="LI142" s="42"/>
      <c r="LJ142" s="42"/>
      <c r="LK142" s="42"/>
      <c r="LL142" s="42"/>
      <c r="LM142" s="42"/>
      <c r="LN142" s="42"/>
      <c r="LO142" s="42"/>
      <c r="LP142" s="43"/>
      <c r="LQ142" s="43"/>
      <c r="LR142" s="43"/>
      <c r="LS142" s="43"/>
      <c r="LT142" s="43"/>
      <c r="LU142" s="43"/>
      <c r="LV142" s="42"/>
      <c r="LW142" s="42"/>
      <c r="LX142" s="42"/>
      <c r="LY142" s="42"/>
      <c r="LZ142" s="42"/>
      <c r="MA142" s="42"/>
      <c r="MB142" s="42"/>
      <c r="MC142" s="42"/>
      <c r="MD142" s="43"/>
      <c r="ME142" s="43"/>
      <c r="MF142" s="43"/>
      <c r="MG142" s="43"/>
      <c r="MH142" s="43"/>
      <c r="MI142" s="43"/>
      <c r="MJ142" s="42"/>
      <c r="MK142" s="42"/>
      <c r="ML142" s="42"/>
      <c r="MM142" s="42"/>
      <c r="MN142" s="42"/>
      <c r="MO142" s="42"/>
      <c r="MP142" s="42"/>
      <c r="MQ142" s="42"/>
      <c r="MR142" s="43"/>
      <c r="MS142" s="43"/>
      <c r="MT142" s="43"/>
      <c r="MU142" s="43"/>
      <c r="MV142" s="43"/>
      <c r="MW142" s="43"/>
      <c r="MX142" s="42"/>
      <c r="MY142" s="42"/>
      <c r="MZ142" s="42"/>
      <c r="NA142" s="42"/>
      <c r="NB142" s="42"/>
      <c r="NC142" s="42"/>
      <c r="ND142" s="42"/>
      <c r="NE142" s="42"/>
      <c r="NF142" s="43"/>
      <c r="NG142" s="43"/>
      <c r="NH142" s="43"/>
      <c r="NI142" s="43"/>
      <c r="NJ142" s="43"/>
      <c r="NK142" s="43"/>
      <c r="NL142" s="42"/>
      <c r="NM142" s="42"/>
      <c r="NN142" s="42"/>
      <c r="NO142" s="42"/>
      <c r="NP142" s="42"/>
      <c r="NQ142" s="42"/>
      <c r="NR142" s="42"/>
      <c r="NS142" s="42"/>
      <c r="NT142" s="43"/>
      <c r="NU142" s="43"/>
      <c r="NV142" s="43"/>
      <c r="NW142" s="43"/>
      <c r="NX142" s="43"/>
      <c r="NY142" s="43"/>
      <c r="NZ142" s="42"/>
      <c r="OA142" s="42"/>
      <c r="OB142" s="42"/>
      <c r="OC142" s="42"/>
      <c r="OD142" s="42"/>
      <c r="OE142" s="42"/>
      <c r="OF142" s="42"/>
      <c r="OG142" s="42"/>
      <c r="OH142" s="43"/>
      <c r="OI142" s="43"/>
      <c r="OJ142" s="43"/>
      <c r="OK142" s="43"/>
      <c r="OL142" s="43"/>
      <c r="OM142" s="43"/>
      <c r="ON142" s="42"/>
      <c r="OO142" s="42"/>
      <c r="OP142" s="42"/>
      <c r="OQ142" s="42"/>
      <c r="OR142" s="42"/>
      <c r="OS142" s="42"/>
      <c r="OT142" s="42"/>
      <c r="OU142" s="42"/>
      <c r="OV142" s="43"/>
      <c r="OW142" s="43"/>
      <c r="OX142" s="43"/>
      <c r="OY142" s="43"/>
      <c r="OZ142" s="43"/>
      <c r="PA142" s="43"/>
      <c r="PB142" s="42"/>
      <c r="PC142" s="42"/>
      <c r="PD142" s="42"/>
      <c r="PE142" s="42"/>
      <c r="PF142" s="42"/>
      <c r="PG142" s="42"/>
      <c r="PH142" s="42"/>
      <c r="PI142" s="42"/>
      <c r="PJ142" s="43"/>
      <c r="PK142" s="43"/>
      <c r="PL142" s="43"/>
      <c r="PM142" s="43"/>
      <c r="PN142" s="43"/>
      <c r="PO142" s="43"/>
      <c r="PP142" s="42"/>
      <c r="PQ142" s="42"/>
      <c r="PR142" s="42"/>
      <c r="PS142" s="42"/>
      <c r="PT142" s="42"/>
      <c r="PU142" s="42"/>
      <c r="PV142" s="42"/>
      <c r="PW142" s="42"/>
      <c r="PX142" s="43"/>
      <c r="PY142" s="43"/>
      <c r="PZ142" s="43"/>
      <c r="QA142" s="43"/>
      <c r="QB142" s="43"/>
      <c r="QC142" s="43"/>
      <c r="QD142" s="42"/>
      <c r="QE142" s="42"/>
      <c r="QF142" s="42"/>
      <c r="QG142" s="42"/>
      <c r="QH142" s="42"/>
      <c r="QI142" s="42"/>
      <c r="QJ142" s="42"/>
      <c r="QK142" s="42"/>
      <c r="QL142" s="43"/>
      <c r="QM142" s="43"/>
      <c r="QN142" s="43"/>
      <c r="QO142" s="43"/>
      <c r="QP142" s="43"/>
      <c r="QQ142" s="43"/>
      <c r="QR142" s="42"/>
      <c r="QS142" s="42"/>
      <c r="QT142" s="42"/>
      <c r="QU142" s="42"/>
      <c r="QV142" s="42"/>
      <c r="QW142" s="42"/>
      <c r="QX142" s="42"/>
      <c r="QY142" s="42"/>
      <c r="QZ142" s="43"/>
      <c r="RA142" s="43"/>
      <c r="RB142" s="43"/>
      <c r="RC142" s="43"/>
      <c r="RD142" s="43"/>
      <c r="RE142" s="43"/>
      <c r="RF142" s="42"/>
      <c r="RG142" s="42"/>
      <c r="RH142" s="42"/>
      <c r="RI142" s="42"/>
      <c r="RJ142" s="42"/>
      <c r="RK142" s="42"/>
      <c r="RL142" s="42"/>
      <c r="RM142" s="42"/>
      <c r="RN142" s="43"/>
      <c r="RO142" s="43"/>
      <c r="RP142" s="43"/>
      <c r="RQ142" s="43"/>
      <c r="RR142" s="43"/>
      <c r="RS142" s="43"/>
      <c r="RT142" s="42"/>
      <c r="RU142" s="42"/>
      <c r="RV142" s="42"/>
      <c r="RW142" s="42"/>
      <c r="RX142" s="42"/>
      <c r="RY142" s="42"/>
      <c r="RZ142" s="42"/>
    </row>
    <row r="143" spans="1:494" ht="50.1" customHeight="1" x14ac:dyDescent="0.25">
      <c r="A143" s="59"/>
      <c r="B143" s="3" t="s">
        <v>9</v>
      </c>
      <c r="C143" s="3" t="s">
        <v>6</v>
      </c>
      <c r="D143" s="7">
        <f t="shared" si="54"/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2"/>
      <c r="N143" s="42"/>
      <c r="O143" s="42"/>
      <c r="P143" s="42"/>
      <c r="Q143" s="42"/>
      <c r="R143" s="42"/>
      <c r="S143" s="42"/>
      <c r="T143" s="43"/>
      <c r="U143" s="43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  <c r="AI143" s="43"/>
      <c r="AJ143" s="43"/>
      <c r="AK143" s="43"/>
      <c r="AL143" s="43"/>
      <c r="AM143" s="43"/>
      <c r="AN143" s="42"/>
      <c r="AO143" s="42"/>
      <c r="AP143" s="42"/>
      <c r="AQ143" s="42"/>
      <c r="AR143" s="42"/>
      <c r="AS143" s="42"/>
      <c r="AT143" s="42"/>
      <c r="AU143" s="42"/>
      <c r="AV143" s="43"/>
      <c r="AW143" s="43"/>
      <c r="AX143" s="43"/>
      <c r="AY143" s="43"/>
      <c r="AZ143" s="43"/>
      <c r="BA143" s="43"/>
      <c r="BB143" s="42"/>
      <c r="BC143" s="42"/>
      <c r="BD143" s="42"/>
      <c r="BE143" s="42"/>
      <c r="BF143" s="42"/>
      <c r="BG143" s="42"/>
      <c r="BH143" s="42"/>
      <c r="BI143" s="42"/>
      <c r="BJ143" s="43"/>
      <c r="BK143" s="43"/>
      <c r="BL143" s="43"/>
      <c r="BM143" s="43"/>
      <c r="BN143" s="43"/>
      <c r="BO143" s="43"/>
      <c r="BP143" s="42"/>
      <c r="BQ143" s="42"/>
      <c r="BR143" s="42"/>
      <c r="BS143" s="42"/>
      <c r="BT143" s="42"/>
      <c r="BU143" s="42"/>
      <c r="BV143" s="42"/>
      <c r="BW143" s="42"/>
      <c r="BX143" s="43"/>
      <c r="BY143" s="43"/>
      <c r="BZ143" s="43"/>
      <c r="CA143" s="43"/>
      <c r="CB143" s="43"/>
      <c r="CC143" s="43"/>
      <c r="CD143" s="42"/>
      <c r="CE143" s="42"/>
      <c r="CF143" s="42"/>
      <c r="CG143" s="42"/>
      <c r="CH143" s="42"/>
      <c r="CI143" s="42"/>
      <c r="CJ143" s="42"/>
      <c r="CK143" s="42"/>
      <c r="CL143" s="43"/>
      <c r="CM143" s="43"/>
      <c r="CN143" s="43"/>
      <c r="CO143" s="43"/>
      <c r="CP143" s="43"/>
      <c r="CQ143" s="43"/>
      <c r="CR143" s="42"/>
      <c r="CS143" s="42"/>
      <c r="CT143" s="42"/>
      <c r="CU143" s="42"/>
      <c r="CV143" s="42"/>
      <c r="CW143" s="42"/>
      <c r="CX143" s="42"/>
      <c r="CY143" s="42"/>
      <c r="CZ143" s="43"/>
      <c r="DA143" s="43"/>
      <c r="DB143" s="43"/>
      <c r="DC143" s="43"/>
      <c r="DD143" s="43"/>
      <c r="DE143" s="43"/>
      <c r="DF143" s="42"/>
      <c r="DG143" s="42"/>
      <c r="DH143" s="42"/>
      <c r="DI143" s="42"/>
      <c r="DJ143" s="42"/>
      <c r="DK143" s="42"/>
      <c r="DL143" s="42"/>
      <c r="DM143" s="42"/>
      <c r="DN143" s="43"/>
      <c r="DO143" s="43"/>
      <c r="DP143" s="43"/>
      <c r="DQ143" s="43"/>
      <c r="DR143" s="43"/>
      <c r="DS143" s="43"/>
      <c r="DT143" s="42"/>
      <c r="DU143" s="42"/>
      <c r="DV143" s="42"/>
      <c r="DW143" s="42"/>
      <c r="DX143" s="42"/>
      <c r="DY143" s="42"/>
      <c r="DZ143" s="42"/>
      <c r="EA143" s="42"/>
      <c r="EB143" s="43"/>
      <c r="EC143" s="43"/>
      <c r="ED143" s="43"/>
      <c r="EE143" s="43"/>
      <c r="EF143" s="43"/>
      <c r="EG143" s="43"/>
      <c r="EH143" s="42"/>
      <c r="EI143" s="42"/>
      <c r="EJ143" s="42"/>
      <c r="EK143" s="42"/>
      <c r="EL143" s="42"/>
      <c r="EM143" s="42"/>
      <c r="EN143" s="42"/>
      <c r="EO143" s="42"/>
      <c r="EP143" s="43"/>
      <c r="EQ143" s="43"/>
      <c r="ER143" s="43"/>
      <c r="ES143" s="43"/>
      <c r="ET143" s="43"/>
      <c r="EU143" s="43"/>
      <c r="EV143" s="42"/>
      <c r="EW143" s="42"/>
      <c r="EX143" s="42"/>
      <c r="EY143" s="42"/>
      <c r="EZ143" s="42"/>
      <c r="FA143" s="42"/>
      <c r="FB143" s="42"/>
      <c r="FC143" s="42"/>
      <c r="FD143" s="43"/>
      <c r="FE143" s="43"/>
      <c r="FF143" s="43"/>
      <c r="FG143" s="43"/>
      <c r="FH143" s="43"/>
      <c r="FI143" s="43"/>
      <c r="FJ143" s="42"/>
      <c r="FK143" s="42"/>
      <c r="FL143" s="42"/>
      <c r="FM143" s="42"/>
      <c r="FN143" s="42"/>
      <c r="FO143" s="42"/>
      <c r="FP143" s="42"/>
      <c r="FQ143" s="42"/>
      <c r="FR143" s="43"/>
      <c r="FS143" s="43"/>
      <c r="FT143" s="43"/>
      <c r="FU143" s="43"/>
      <c r="FV143" s="43"/>
      <c r="FW143" s="43"/>
      <c r="FX143" s="42"/>
      <c r="FY143" s="42"/>
      <c r="FZ143" s="42"/>
      <c r="GA143" s="42"/>
      <c r="GB143" s="42"/>
      <c r="GC143" s="42"/>
      <c r="GD143" s="42"/>
      <c r="GE143" s="42"/>
      <c r="GF143" s="43"/>
      <c r="GG143" s="43"/>
      <c r="GH143" s="43"/>
      <c r="GI143" s="43"/>
      <c r="GJ143" s="43"/>
      <c r="GK143" s="43"/>
      <c r="GL143" s="42"/>
      <c r="GM143" s="42"/>
      <c r="GN143" s="42"/>
      <c r="GO143" s="42"/>
      <c r="GP143" s="42"/>
      <c r="GQ143" s="42"/>
      <c r="GR143" s="42"/>
      <c r="GS143" s="42"/>
      <c r="GT143" s="43"/>
      <c r="GU143" s="43"/>
      <c r="GV143" s="43"/>
      <c r="GW143" s="43"/>
      <c r="GX143" s="43"/>
      <c r="GY143" s="43"/>
      <c r="GZ143" s="42"/>
      <c r="HA143" s="42"/>
      <c r="HB143" s="42"/>
      <c r="HC143" s="42"/>
      <c r="HD143" s="42"/>
      <c r="HE143" s="42"/>
      <c r="HF143" s="42"/>
      <c r="HG143" s="42"/>
      <c r="HH143" s="43"/>
      <c r="HI143" s="43"/>
      <c r="HJ143" s="43"/>
      <c r="HK143" s="43"/>
      <c r="HL143" s="43"/>
      <c r="HM143" s="43"/>
      <c r="HN143" s="42"/>
      <c r="HO143" s="42"/>
      <c r="HP143" s="42"/>
      <c r="HQ143" s="42"/>
      <c r="HR143" s="42"/>
      <c r="HS143" s="42"/>
      <c r="HT143" s="42"/>
      <c r="HU143" s="42"/>
      <c r="HV143" s="43"/>
      <c r="HW143" s="43"/>
      <c r="HX143" s="43"/>
      <c r="HY143" s="43"/>
      <c r="HZ143" s="43"/>
      <c r="IA143" s="43"/>
      <c r="IB143" s="42"/>
      <c r="IC143" s="42"/>
      <c r="ID143" s="42"/>
      <c r="IE143" s="42"/>
      <c r="IF143" s="42"/>
      <c r="IG143" s="42"/>
      <c r="IH143" s="42"/>
      <c r="II143" s="42"/>
      <c r="IJ143" s="43"/>
      <c r="IK143" s="43"/>
      <c r="IL143" s="43"/>
      <c r="IM143" s="43"/>
      <c r="IN143" s="43"/>
      <c r="IO143" s="43"/>
      <c r="IP143" s="42"/>
      <c r="IQ143" s="42"/>
      <c r="IR143" s="42"/>
      <c r="IS143" s="42"/>
      <c r="IT143" s="42"/>
      <c r="IU143" s="42"/>
      <c r="IV143" s="42"/>
      <c r="IW143" s="42"/>
      <c r="IX143" s="43"/>
      <c r="IY143" s="43"/>
      <c r="IZ143" s="43"/>
      <c r="JA143" s="43"/>
      <c r="JB143" s="43"/>
      <c r="JC143" s="43"/>
      <c r="JD143" s="42"/>
      <c r="JE143" s="42"/>
      <c r="JF143" s="42"/>
      <c r="JG143" s="42"/>
      <c r="JH143" s="42"/>
      <c r="JI143" s="42"/>
      <c r="JJ143" s="42"/>
      <c r="JK143" s="42"/>
      <c r="JL143" s="43"/>
      <c r="JM143" s="43"/>
      <c r="JN143" s="43"/>
      <c r="JO143" s="43"/>
      <c r="JP143" s="43"/>
      <c r="JQ143" s="43"/>
      <c r="JR143" s="42"/>
      <c r="JS143" s="42"/>
      <c r="JT143" s="42"/>
      <c r="JU143" s="42"/>
      <c r="JV143" s="42"/>
      <c r="JW143" s="42"/>
      <c r="JX143" s="42"/>
      <c r="JY143" s="42"/>
      <c r="JZ143" s="43"/>
      <c r="KA143" s="43"/>
      <c r="KB143" s="43"/>
      <c r="KC143" s="43"/>
      <c r="KD143" s="43"/>
      <c r="KE143" s="43"/>
      <c r="KF143" s="42"/>
      <c r="KG143" s="42"/>
      <c r="KH143" s="42"/>
      <c r="KI143" s="42"/>
      <c r="KJ143" s="42"/>
      <c r="KK143" s="42"/>
      <c r="KL143" s="42"/>
      <c r="KM143" s="42"/>
      <c r="KN143" s="43"/>
      <c r="KO143" s="43"/>
      <c r="KP143" s="43"/>
      <c r="KQ143" s="43"/>
      <c r="KR143" s="43"/>
      <c r="KS143" s="43"/>
      <c r="KT143" s="42"/>
      <c r="KU143" s="42"/>
      <c r="KV143" s="42"/>
      <c r="KW143" s="42"/>
      <c r="KX143" s="42"/>
      <c r="KY143" s="42"/>
      <c r="KZ143" s="42"/>
      <c r="LA143" s="42"/>
      <c r="LB143" s="43"/>
      <c r="LC143" s="43"/>
      <c r="LD143" s="43"/>
      <c r="LE143" s="43"/>
      <c r="LF143" s="43"/>
      <c r="LG143" s="43"/>
      <c r="LH143" s="42"/>
      <c r="LI143" s="42"/>
      <c r="LJ143" s="42"/>
      <c r="LK143" s="42"/>
      <c r="LL143" s="42"/>
      <c r="LM143" s="42"/>
      <c r="LN143" s="42"/>
      <c r="LO143" s="42"/>
      <c r="LP143" s="43"/>
      <c r="LQ143" s="43"/>
      <c r="LR143" s="43"/>
      <c r="LS143" s="43"/>
      <c r="LT143" s="43"/>
      <c r="LU143" s="43"/>
      <c r="LV143" s="42"/>
      <c r="LW143" s="42"/>
      <c r="LX143" s="42"/>
      <c r="LY143" s="42"/>
      <c r="LZ143" s="42"/>
      <c r="MA143" s="42"/>
      <c r="MB143" s="42"/>
      <c r="MC143" s="42"/>
      <c r="MD143" s="43"/>
      <c r="ME143" s="43"/>
      <c r="MF143" s="43"/>
      <c r="MG143" s="43"/>
      <c r="MH143" s="43"/>
      <c r="MI143" s="43"/>
      <c r="MJ143" s="42"/>
      <c r="MK143" s="42"/>
      <c r="ML143" s="42"/>
      <c r="MM143" s="42"/>
      <c r="MN143" s="42"/>
      <c r="MO143" s="42"/>
      <c r="MP143" s="42"/>
      <c r="MQ143" s="42"/>
      <c r="MR143" s="43"/>
      <c r="MS143" s="43"/>
      <c r="MT143" s="43"/>
      <c r="MU143" s="43"/>
      <c r="MV143" s="43"/>
      <c r="MW143" s="43"/>
      <c r="MX143" s="42"/>
      <c r="MY143" s="42"/>
      <c r="MZ143" s="42"/>
      <c r="NA143" s="42"/>
      <c r="NB143" s="42"/>
      <c r="NC143" s="42"/>
      <c r="ND143" s="42"/>
      <c r="NE143" s="42"/>
      <c r="NF143" s="43"/>
      <c r="NG143" s="43"/>
      <c r="NH143" s="43"/>
      <c r="NI143" s="43"/>
      <c r="NJ143" s="43"/>
      <c r="NK143" s="43"/>
      <c r="NL143" s="42"/>
      <c r="NM143" s="42"/>
      <c r="NN143" s="42"/>
      <c r="NO143" s="42"/>
      <c r="NP143" s="42"/>
      <c r="NQ143" s="42"/>
      <c r="NR143" s="42"/>
      <c r="NS143" s="42"/>
      <c r="NT143" s="43"/>
      <c r="NU143" s="43"/>
      <c r="NV143" s="43"/>
      <c r="NW143" s="43"/>
      <c r="NX143" s="43"/>
      <c r="NY143" s="43"/>
      <c r="NZ143" s="42"/>
      <c r="OA143" s="42"/>
      <c r="OB143" s="42"/>
      <c r="OC143" s="42"/>
      <c r="OD143" s="42"/>
      <c r="OE143" s="42"/>
      <c r="OF143" s="42"/>
      <c r="OG143" s="42"/>
      <c r="OH143" s="43"/>
      <c r="OI143" s="43"/>
      <c r="OJ143" s="43"/>
      <c r="OK143" s="43"/>
      <c r="OL143" s="43"/>
      <c r="OM143" s="43"/>
      <c r="ON143" s="42"/>
      <c r="OO143" s="42"/>
      <c r="OP143" s="42"/>
      <c r="OQ143" s="42"/>
      <c r="OR143" s="42"/>
      <c r="OS143" s="42"/>
      <c r="OT143" s="42"/>
      <c r="OU143" s="42"/>
      <c r="OV143" s="43"/>
      <c r="OW143" s="43"/>
      <c r="OX143" s="43"/>
      <c r="OY143" s="43"/>
      <c r="OZ143" s="43"/>
      <c r="PA143" s="43"/>
      <c r="PB143" s="42"/>
      <c r="PC143" s="42"/>
      <c r="PD143" s="42"/>
      <c r="PE143" s="42"/>
      <c r="PF143" s="42"/>
      <c r="PG143" s="42"/>
      <c r="PH143" s="42"/>
      <c r="PI143" s="42"/>
      <c r="PJ143" s="43"/>
      <c r="PK143" s="43"/>
      <c r="PL143" s="43"/>
      <c r="PM143" s="43"/>
      <c r="PN143" s="43"/>
      <c r="PO143" s="43"/>
      <c r="PP143" s="42"/>
      <c r="PQ143" s="42"/>
      <c r="PR143" s="42"/>
      <c r="PS143" s="42"/>
      <c r="PT143" s="42"/>
      <c r="PU143" s="42"/>
      <c r="PV143" s="42"/>
      <c r="PW143" s="42"/>
      <c r="PX143" s="43"/>
      <c r="PY143" s="43"/>
      <c r="PZ143" s="43"/>
      <c r="QA143" s="43"/>
      <c r="QB143" s="43"/>
      <c r="QC143" s="43"/>
      <c r="QD143" s="42"/>
      <c r="QE143" s="42"/>
      <c r="QF143" s="42"/>
      <c r="QG143" s="42"/>
      <c r="QH143" s="42"/>
      <c r="QI143" s="42"/>
      <c r="QJ143" s="42"/>
      <c r="QK143" s="42"/>
      <c r="QL143" s="43"/>
      <c r="QM143" s="43"/>
      <c r="QN143" s="43"/>
      <c r="QO143" s="43"/>
      <c r="QP143" s="43"/>
      <c r="QQ143" s="43"/>
      <c r="QR143" s="42"/>
      <c r="QS143" s="42"/>
      <c r="QT143" s="42"/>
      <c r="QU143" s="42"/>
      <c r="QV143" s="42"/>
      <c r="QW143" s="42"/>
      <c r="QX143" s="42"/>
      <c r="QY143" s="42"/>
      <c r="QZ143" s="43"/>
      <c r="RA143" s="43"/>
      <c r="RB143" s="43"/>
      <c r="RC143" s="43"/>
      <c r="RD143" s="43"/>
      <c r="RE143" s="43"/>
      <c r="RF143" s="42"/>
      <c r="RG143" s="42"/>
      <c r="RH143" s="42"/>
      <c r="RI143" s="42"/>
      <c r="RJ143" s="42"/>
      <c r="RK143" s="42"/>
      <c r="RL143" s="42"/>
      <c r="RM143" s="42"/>
      <c r="RN143" s="43"/>
      <c r="RO143" s="43"/>
      <c r="RP143" s="43"/>
      <c r="RQ143" s="43"/>
      <c r="RR143" s="43"/>
      <c r="RS143" s="43"/>
      <c r="RT143" s="42"/>
      <c r="RU143" s="42"/>
      <c r="RV143" s="42"/>
      <c r="RW143" s="42"/>
      <c r="RX143" s="42"/>
      <c r="RY143" s="42"/>
      <c r="RZ143" s="42"/>
    </row>
    <row r="144" spans="1:494" ht="50.1" customHeight="1" x14ac:dyDescent="0.25">
      <c r="A144" s="59"/>
      <c r="B144" s="3" t="s">
        <v>9</v>
      </c>
      <c r="C144" s="3" t="s">
        <v>27</v>
      </c>
      <c r="D144" s="7">
        <f>SUM(E144:L144)</f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2"/>
      <c r="N144" s="42"/>
      <c r="O144" s="42"/>
      <c r="P144" s="42"/>
      <c r="Q144" s="42"/>
      <c r="R144" s="42"/>
      <c r="S144" s="42"/>
      <c r="T144" s="43"/>
      <c r="U144" s="43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  <c r="AI144" s="43"/>
      <c r="AJ144" s="43"/>
      <c r="AK144" s="43"/>
      <c r="AL144" s="43"/>
      <c r="AM144" s="43"/>
      <c r="AN144" s="42"/>
      <c r="AO144" s="42"/>
      <c r="AP144" s="42"/>
      <c r="AQ144" s="42"/>
      <c r="AR144" s="42"/>
      <c r="AS144" s="42"/>
      <c r="AT144" s="42"/>
      <c r="AU144" s="42"/>
      <c r="AV144" s="43"/>
      <c r="AW144" s="43"/>
      <c r="AX144" s="43"/>
      <c r="AY144" s="43"/>
      <c r="AZ144" s="43"/>
      <c r="BA144" s="43"/>
      <c r="BB144" s="42"/>
      <c r="BC144" s="42"/>
      <c r="BD144" s="42"/>
      <c r="BE144" s="42"/>
      <c r="BF144" s="42"/>
      <c r="BG144" s="42"/>
      <c r="BH144" s="42"/>
      <c r="BI144" s="42"/>
      <c r="BJ144" s="43"/>
      <c r="BK144" s="43"/>
      <c r="BL144" s="43"/>
      <c r="BM144" s="43"/>
      <c r="BN144" s="43"/>
      <c r="BO144" s="43"/>
      <c r="BP144" s="42"/>
      <c r="BQ144" s="42"/>
      <c r="BR144" s="42"/>
      <c r="BS144" s="42"/>
      <c r="BT144" s="42"/>
      <c r="BU144" s="42"/>
      <c r="BV144" s="42"/>
      <c r="BW144" s="42"/>
      <c r="BX144" s="43"/>
      <c r="BY144" s="43"/>
      <c r="BZ144" s="43"/>
      <c r="CA144" s="43"/>
      <c r="CB144" s="43"/>
      <c r="CC144" s="43"/>
      <c r="CD144" s="42"/>
      <c r="CE144" s="42"/>
      <c r="CF144" s="42"/>
      <c r="CG144" s="42"/>
      <c r="CH144" s="42"/>
      <c r="CI144" s="42"/>
      <c r="CJ144" s="42"/>
      <c r="CK144" s="42"/>
      <c r="CL144" s="43"/>
      <c r="CM144" s="43"/>
      <c r="CN144" s="43"/>
      <c r="CO144" s="43"/>
      <c r="CP144" s="43"/>
      <c r="CQ144" s="43"/>
      <c r="CR144" s="42"/>
      <c r="CS144" s="42"/>
      <c r="CT144" s="42"/>
      <c r="CU144" s="42"/>
      <c r="CV144" s="42"/>
      <c r="CW144" s="42"/>
      <c r="CX144" s="42"/>
      <c r="CY144" s="42"/>
      <c r="CZ144" s="43"/>
      <c r="DA144" s="43"/>
      <c r="DB144" s="43"/>
      <c r="DC144" s="43"/>
      <c r="DD144" s="43"/>
      <c r="DE144" s="43"/>
      <c r="DF144" s="42"/>
      <c r="DG144" s="42"/>
      <c r="DH144" s="42"/>
      <c r="DI144" s="42"/>
      <c r="DJ144" s="42"/>
      <c r="DK144" s="42"/>
      <c r="DL144" s="42"/>
      <c r="DM144" s="42"/>
      <c r="DN144" s="43"/>
      <c r="DO144" s="43"/>
      <c r="DP144" s="43"/>
      <c r="DQ144" s="43"/>
      <c r="DR144" s="43"/>
      <c r="DS144" s="43"/>
      <c r="DT144" s="42"/>
      <c r="DU144" s="42"/>
      <c r="DV144" s="42"/>
      <c r="DW144" s="42"/>
      <c r="DX144" s="42"/>
      <c r="DY144" s="42"/>
      <c r="DZ144" s="42"/>
      <c r="EA144" s="42"/>
      <c r="EB144" s="43"/>
      <c r="EC144" s="43"/>
      <c r="ED144" s="43"/>
      <c r="EE144" s="43"/>
      <c r="EF144" s="43"/>
      <c r="EG144" s="43"/>
      <c r="EH144" s="42"/>
      <c r="EI144" s="42"/>
      <c r="EJ144" s="42"/>
      <c r="EK144" s="42"/>
      <c r="EL144" s="42"/>
      <c r="EM144" s="42"/>
      <c r="EN144" s="42"/>
      <c r="EO144" s="42"/>
      <c r="EP144" s="43"/>
      <c r="EQ144" s="43"/>
      <c r="ER144" s="43"/>
      <c r="ES144" s="43"/>
      <c r="ET144" s="43"/>
      <c r="EU144" s="43"/>
      <c r="EV144" s="42"/>
      <c r="EW144" s="42"/>
      <c r="EX144" s="42"/>
      <c r="EY144" s="42"/>
      <c r="EZ144" s="42"/>
      <c r="FA144" s="42"/>
      <c r="FB144" s="42"/>
      <c r="FC144" s="42"/>
      <c r="FD144" s="43"/>
      <c r="FE144" s="43"/>
      <c r="FF144" s="43"/>
      <c r="FG144" s="43"/>
      <c r="FH144" s="43"/>
      <c r="FI144" s="43"/>
      <c r="FJ144" s="42"/>
      <c r="FK144" s="42"/>
      <c r="FL144" s="42"/>
      <c r="FM144" s="42"/>
      <c r="FN144" s="42"/>
      <c r="FO144" s="42"/>
      <c r="FP144" s="42"/>
      <c r="FQ144" s="42"/>
      <c r="FR144" s="43"/>
      <c r="FS144" s="43"/>
      <c r="FT144" s="43"/>
      <c r="FU144" s="43"/>
      <c r="FV144" s="43"/>
      <c r="FW144" s="43"/>
      <c r="FX144" s="42"/>
      <c r="FY144" s="42"/>
      <c r="FZ144" s="42"/>
      <c r="GA144" s="42"/>
      <c r="GB144" s="42"/>
      <c r="GC144" s="42"/>
      <c r="GD144" s="42"/>
      <c r="GE144" s="42"/>
      <c r="GF144" s="43"/>
      <c r="GG144" s="43"/>
      <c r="GH144" s="43"/>
      <c r="GI144" s="43"/>
      <c r="GJ144" s="43"/>
      <c r="GK144" s="43"/>
      <c r="GL144" s="42"/>
      <c r="GM144" s="42"/>
      <c r="GN144" s="42"/>
      <c r="GO144" s="42"/>
      <c r="GP144" s="42"/>
      <c r="GQ144" s="42"/>
      <c r="GR144" s="42"/>
      <c r="GS144" s="42"/>
      <c r="GT144" s="43"/>
      <c r="GU144" s="43"/>
      <c r="GV144" s="43"/>
      <c r="GW144" s="43"/>
      <c r="GX144" s="43"/>
      <c r="GY144" s="43"/>
      <c r="GZ144" s="42"/>
      <c r="HA144" s="42"/>
      <c r="HB144" s="42"/>
      <c r="HC144" s="42"/>
      <c r="HD144" s="42"/>
      <c r="HE144" s="42"/>
      <c r="HF144" s="42"/>
      <c r="HG144" s="42"/>
      <c r="HH144" s="43"/>
      <c r="HI144" s="43"/>
      <c r="HJ144" s="43"/>
      <c r="HK144" s="43"/>
      <c r="HL144" s="43"/>
      <c r="HM144" s="43"/>
      <c r="HN144" s="42"/>
      <c r="HO144" s="42"/>
      <c r="HP144" s="42"/>
      <c r="HQ144" s="42"/>
      <c r="HR144" s="42"/>
      <c r="HS144" s="42"/>
      <c r="HT144" s="42"/>
      <c r="HU144" s="42"/>
      <c r="HV144" s="43"/>
      <c r="HW144" s="43"/>
      <c r="HX144" s="43"/>
      <c r="HY144" s="43"/>
      <c r="HZ144" s="43"/>
      <c r="IA144" s="43"/>
      <c r="IB144" s="42"/>
      <c r="IC144" s="42"/>
      <c r="ID144" s="42"/>
      <c r="IE144" s="42"/>
      <c r="IF144" s="42"/>
      <c r="IG144" s="42"/>
      <c r="IH144" s="42"/>
      <c r="II144" s="42"/>
      <c r="IJ144" s="43"/>
      <c r="IK144" s="43"/>
      <c r="IL144" s="43"/>
      <c r="IM144" s="43"/>
      <c r="IN144" s="43"/>
      <c r="IO144" s="43"/>
      <c r="IP144" s="42"/>
      <c r="IQ144" s="42"/>
      <c r="IR144" s="42"/>
      <c r="IS144" s="42"/>
      <c r="IT144" s="42"/>
      <c r="IU144" s="42"/>
      <c r="IV144" s="42"/>
      <c r="IW144" s="42"/>
      <c r="IX144" s="43"/>
      <c r="IY144" s="43"/>
      <c r="IZ144" s="43"/>
      <c r="JA144" s="43"/>
      <c r="JB144" s="43"/>
      <c r="JC144" s="43"/>
      <c r="JD144" s="42"/>
      <c r="JE144" s="42"/>
      <c r="JF144" s="42"/>
      <c r="JG144" s="42"/>
      <c r="JH144" s="42"/>
      <c r="JI144" s="42"/>
      <c r="JJ144" s="42"/>
      <c r="JK144" s="42"/>
      <c r="JL144" s="43"/>
      <c r="JM144" s="43"/>
      <c r="JN144" s="43"/>
      <c r="JO144" s="43"/>
      <c r="JP144" s="43"/>
      <c r="JQ144" s="43"/>
      <c r="JR144" s="42"/>
      <c r="JS144" s="42"/>
      <c r="JT144" s="42"/>
      <c r="JU144" s="42"/>
      <c r="JV144" s="42"/>
      <c r="JW144" s="42"/>
      <c r="JX144" s="42"/>
      <c r="JY144" s="42"/>
      <c r="JZ144" s="43"/>
      <c r="KA144" s="43"/>
      <c r="KB144" s="43"/>
      <c r="KC144" s="43"/>
      <c r="KD144" s="43"/>
      <c r="KE144" s="43"/>
      <c r="KF144" s="42"/>
      <c r="KG144" s="42"/>
      <c r="KH144" s="42"/>
      <c r="KI144" s="42"/>
      <c r="KJ144" s="42"/>
      <c r="KK144" s="42"/>
      <c r="KL144" s="42"/>
      <c r="KM144" s="42"/>
      <c r="KN144" s="43"/>
      <c r="KO144" s="43"/>
      <c r="KP144" s="43"/>
      <c r="KQ144" s="43"/>
      <c r="KR144" s="43"/>
      <c r="KS144" s="43"/>
      <c r="KT144" s="42"/>
      <c r="KU144" s="42"/>
      <c r="KV144" s="42"/>
      <c r="KW144" s="42"/>
      <c r="KX144" s="42"/>
      <c r="KY144" s="42"/>
      <c r="KZ144" s="42"/>
      <c r="LA144" s="42"/>
      <c r="LB144" s="43"/>
      <c r="LC144" s="43"/>
      <c r="LD144" s="43"/>
      <c r="LE144" s="43"/>
      <c r="LF144" s="43"/>
      <c r="LG144" s="43"/>
      <c r="LH144" s="42"/>
      <c r="LI144" s="42"/>
      <c r="LJ144" s="42"/>
      <c r="LK144" s="42"/>
      <c r="LL144" s="42"/>
      <c r="LM144" s="42"/>
      <c r="LN144" s="42"/>
      <c r="LO144" s="42"/>
      <c r="LP144" s="43"/>
      <c r="LQ144" s="43"/>
      <c r="LR144" s="43"/>
      <c r="LS144" s="43"/>
      <c r="LT144" s="43"/>
      <c r="LU144" s="43"/>
      <c r="LV144" s="42"/>
      <c r="LW144" s="42"/>
      <c r="LX144" s="42"/>
      <c r="LY144" s="42"/>
      <c r="LZ144" s="42"/>
      <c r="MA144" s="42"/>
      <c r="MB144" s="42"/>
      <c r="MC144" s="42"/>
      <c r="MD144" s="43"/>
      <c r="ME144" s="43"/>
      <c r="MF144" s="43"/>
      <c r="MG144" s="43"/>
      <c r="MH144" s="43"/>
      <c r="MI144" s="43"/>
      <c r="MJ144" s="42"/>
      <c r="MK144" s="42"/>
      <c r="ML144" s="42"/>
      <c r="MM144" s="42"/>
      <c r="MN144" s="42"/>
      <c r="MO144" s="42"/>
      <c r="MP144" s="42"/>
      <c r="MQ144" s="42"/>
      <c r="MR144" s="43"/>
      <c r="MS144" s="43"/>
      <c r="MT144" s="43"/>
      <c r="MU144" s="43"/>
      <c r="MV144" s="43"/>
      <c r="MW144" s="43"/>
      <c r="MX144" s="42"/>
      <c r="MY144" s="42"/>
      <c r="MZ144" s="42"/>
      <c r="NA144" s="42"/>
      <c r="NB144" s="42"/>
      <c r="NC144" s="42"/>
      <c r="ND144" s="42"/>
      <c r="NE144" s="42"/>
      <c r="NF144" s="43"/>
      <c r="NG144" s="43"/>
      <c r="NH144" s="43"/>
      <c r="NI144" s="43"/>
      <c r="NJ144" s="43"/>
      <c r="NK144" s="43"/>
      <c r="NL144" s="42"/>
      <c r="NM144" s="42"/>
      <c r="NN144" s="42"/>
      <c r="NO144" s="42"/>
      <c r="NP144" s="42"/>
      <c r="NQ144" s="42"/>
      <c r="NR144" s="42"/>
      <c r="NS144" s="42"/>
      <c r="NT144" s="43"/>
      <c r="NU144" s="43"/>
      <c r="NV144" s="43"/>
      <c r="NW144" s="43"/>
      <c r="NX144" s="43"/>
      <c r="NY144" s="43"/>
      <c r="NZ144" s="42"/>
      <c r="OA144" s="42"/>
      <c r="OB144" s="42"/>
      <c r="OC144" s="42"/>
      <c r="OD144" s="42"/>
      <c r="OE144" s="42"/>
      <c r="OF144" s="42"/>
      <c r="OG144" s="42"/>
      <c r="OH144" s="43"/>
      <c r="OI144" s="43"/>
      <c r="OJ144" s="43"/>
      <c r="OK144" s="43"/>
      <c r="OL144" s="43"/>
      <c r="OM144" s="43"/>
      <c r="ON144" s="42"/>
      <c r="OO144" s="42"/>
      <c r="OP144" s="42"/>
      <c r="OQ144" s="42"/>
      <c r="OR144" s="42"/>
      <c r="OS144" s="42"/>
      <c r="OT144" s="42"/>
      <c r="OU144" s="42"/>
      <c r="OV144" s="43"/>
      <c r="OW144" s="43"/>
      <c r="OX144" s="43"/>
      <c r="OY144" s="43"/>
      <c r="OZ144" s="43"/>
      <c r="PA144" s="43"/>
      <c r="PB144" s="42"/>
      <c r="PC144" s="42"/>
      <c r="PD144" s="42"/>
      <c r="PE144" s="42"/>
      <c r="PF144" s="42"/>
      <c r="PG144" s="42"/>
      <c r="PH144" s="42"/>
      <c r="PI144" s="42"/>
      <c r="PJ144" s="43"/>
      <c r="PK144" s="43"/>
      <c r="PL144" s="43"/>
      <c r="PM144" s="43"/>
      <c r="PN144" s="43"/>
      <c r="PO144" s="43"/>
      <c r="PP144" s="42"/>
      <c r="PQ144" s="42"/>
      <c r="PR144" s="42"/>
      <c r="PS144" s="42"/>
      <c r="PT144" s="42"/>
      <c r="PU144" s="42"/>
      <c r="PV144" s="42"/>
      <c r="PW144" s="42"/>
      <c r="PX144" s="43"/>
      <c r="PY144" s="43"/>
      <c r="PZ144" s="43"/>
      <c r="QA144" s="43"/>
      <c r="QB144" s="43"/>
      <c r="QC144" s="43"/>
      <c r="QD144" s="42"/>
      <c r="QE144" s="42"/>
      <c r="QF144" s="42"/>
      <c r="QG144" s="42"/>
      <c r="QH144" s="42"/>
      <c r="QI144" s="42"/>
      <c r="QJ144" s="42"/>
      <c r="QK144" s="42"/>
      <c r="QL144" s="43"/>
      <c r="QM144" s="43"/>
      <c r="QN144" s="43"/>
      <c r="QO144" s="43"/>
      <c r="QP144" s="43"/>
      <c r="QQ144" s="43"/>
      <c r="QR144" s="42"/>
      <c r="QS144" s="42"/>
      <c r="QT144" s="42"/>
      <c r="QU144" s="42"/>
      <c r="QV144" s="42"/>
      <c r="QW144" s="42"/>
      <c r="QX144" s="42"/>
      <c r="QY144" s="42"/>
      <c r="QZ144" s="43"/>
      <c r="RA144" s="43"/>
      <c r="RB144" s="43"/>
      <c r="RC144" s="43"/>
      <c r="RD144" s="43"/>
      <c r="RE144" s="43"/>
      <c r="RF144" s="42"/>
      <c r="RG144" s="42"/>
      <c r="RH144" s="42"/>
      <c r="RI144" s="42"/>
      <c r="RJ144" s="42"/>
      <c r="RK144" s="42"/>
      <c r="RL144" s="42"/>
      <c r="RM144" s="42"/>
      <c r="RN144" s="43"/>
      <c r="RO144" s="43"/>
      <c r="RP144" s="43"/>
      <c r="RQ144" s="43"/>
      <c r="RR144" s="43"/>
      <c r="RS144" s="43"/>
      <c r="RT144" s="42"/>
      <c r="RU144" s="42"/>
      <c r="RV144" s="42"/>
      <c r="RW144" s="42"/>
      <c r="RX144" s="42"/>
      <c r="RY144" s="42"/>
      <c r="RZ144" s="42"/>
    </row>
    <row r="145" spans="1:494" ht="86.25" customHeight="1" x14ac:dyDescent="0.25">
      <c r="A145" s="48" t="s">
        <v>101</v>
      </c>
      <c r="B145" s="47" t="s">
        <v>23</v>
      </c>
      <c r="C145" s="47" t="s">
        <v>6</v>
      </c>
      <c r="D145" s="7">
        <f t="shared" ref="D145:D148" si="55">SUM(E145:L145)</f>
        <v>500000</v>
      </c>
      <c r="E145" s="7">
        <v>0</v>
      </c>
      <c r="F145" s="7">
        <v>0</v>
      </c>
      <c r="G145" s="7">
        <v>0</v>
      </c>
      <c r="H145" s="7">
        <v>0</v>
      </c>
      <c r="I145" s="7">
        <v>500000</v>
      </c>
      <c r="J145" s="7">
        <v>0</v>
      </c>
      <c r="K145" s="7">
        <v>0</v>
      </c>
      <c r="L145" s="7">
        <v>0</v>
      </c>
      <c r="M145" s="42"/>
      <c r="N145" s="42"/>
      <c r="O145" s="42"/>
      <c r="P145" s="42"/>
      <c r="Q145" s="42"/>
      <c r="R145" s="42"/>
      <c r="S145" s="42"/>
      <c r="T145" s="43"/>
      <c r="U145" s="43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  <c r="AI145" s="43"/>
      <c r="AJ145" s="43"/>
      <c r="AK145" s="43"/>
      <c r="AL145" s="43"/>
      <c r="AM145" s="43"/>
      <c r="AN145" s="42"/>
      <c r="AO145" s="42"/>
      <c r="AP145" s="42"/>
      <c r="AQ145" s="42"/>
      <c r="AR145" s="42"/>
      <c r="AS145" s="42"/>
      <c r="AT145" s="42"/>
      <c r="AU145" s="42"/>
      <c r="AV145" s="43"/>
      <c r="AW145" s="43"/>
      <c r="AX145" s="43"/>
      <c r="AY145" s="43"/>
      <c r="AZ145" s="43"/>
      <c r="BA145" s="43"/>
      <c r="BB145" s="42"/>
      <c r="BC145" s="42"/>
      <c r="BD145" s="42"/>
      <c r="BE145" s="42"/>
      <c r="BF145" s="42"/>
      <c r="BG145" s="42"/>
      <c r="BH145" s="42"/>
      <c r="BI145" s="42"/>
      <c r="BJ145" s="43"/>
      <c r="BK145" s="43"/>
      <c r="BL145" s="43"/>
      <c r="BM145" s="43"/>
      <c r="BN145" s="43"/>
      <c r="BO145" s="43"/>
      <c r="BP145" s="42"/>
      <c r="BQ145" s="42"/>
      <c r="BR145" s="42"/>
      <c r="BS145" s="42"/>
      <c r="BT145" s="42"/>
      <c r="BU145" s="42"/>
      <c r="BV145" s="42"/>
      <c r="BW145" s="42"/>
      <c r="BX145" s="43"/>
      <c r="BY145" s="43"/>
      <c r="BZ145" s="43"/>
      <c r="CA145" s="43"/>
      <c r="CB145" s="43"/>
      <c r="CC145" s="43"/>
      <c r="CD145" s="42"/>
      <c r="CE145" s="42"/>
      <c r="CF145" s="42"/>
      <c r="CG145" s="42"/>
      <c r="CH145" s="42"/>
      <c r="CI145" s="42"/>
      <c r="CJ145" s="42"/>
      <c r="CK145" s="42"/>
      <c r="CL145" s="43"/>
      <c r="CM145" s="43"/>
      <c r="CN145" s="43"/>
      <c r="CO145" s="43"/>
      <c r="CP145" s="43"/>
      <c r="CQ145" s="43"/>
      <c r="CR145" s="42"/>
      <c r="CS145" s="42"/>
      <c r="CT145" s="42"/>
      <c r="CU145" s="42"/>
      <c r="CV145" s="42"/>
      <c r="CW145" s="42"/>
      <c r="CX145" s="42"/>
      <c r="CY145" s="42"/>
      <c r="CZ145" s="43"/>
      <c r="DA145" s="43"/>
      <c r="DB145" s="43"/>
      <c r="DC145" s="43"/>
      <c r="DD145" s="43"/>
      <c r="DE145" s="43"/>
      <c r="DF145" s="42"/>
      <c r="DG145" s="42"/>
      <c r="DH145" s="42"/>
      <c r="DI145" s="42"/>
      <c r="DJ145" s="42"/>
      <c r="DK145" s="42"/>
      <c r="DL145" s="42"/>
      <c r="DM145" s="42"/>
      <c r="DN145" s="43"/>
      <c r="DO145" s="43"/>
      <c r="DP145" s="43"/>
      <c r="DQ145" s="43"/>
      <c r="DR145" s="43"/>
      <c r="DS145" s="43"/>
      <c r="DT145" s="42"/>
      <c r="DU145" s="42"/>
      <c r="DV145" s="42"/>
      <c r="DW145" s="42"/>
      <c r="DX145" s="42"/>
      <c r="DY145" s="42"/>
      <c r="DZ145" s="42"/>
      <c r="EA145" s="42"/>
      <c r="EB145" s="43"/>
      <c r="EC145" s="43"/>
      <c r="ED145" s="43"/>
      <c r="EE145" s="43"/>
      <c r="EF145" s="43"/>
      <c r="EG145" s="43"/>
      <c r="EH145" s="42"/>
      <c r="EI145" s="42"/>
      <c r="EJ145" s="42"/>
      <c r="EK145" s="42"/>
      <c r="EL145" s="42"/>
      <c r="EM145" s="42"/>
      <c r="EN145" s="42"/>
      <c r="EO145" s="42"/>
      <c r="EP145" s="43"/>
      <c r="EQ145" s="43"/>
      <c r="ER145" s="43"/>
      <c r="ES145" s="43"/>
      <c r="ET145" s="43"/>
      <c r="EU145" s="43"/>
      <c r="EV145" s="42"/>
      <c r="EW145" s="42"/>
      <c r="EX145" s="42"/>
      <c r="EY145" s="42"/>
      <c r="EZ145" s="42"/>
      <c r="FA145" s="42"/>
      <c r="FB145" s="42"/>
      <c r="FC145" s="42"/>
      <c r="FD145" s="43"/>
      <c r="FE145" s="43"/>
      <c r="FF145" s="43"/>
      <c r="FG145" s="43"/>
      <c r="FH145" s="43"/>
      <c r="FI145" s="43"/>
      <c r="FJ145" s="42"/>
      <c r="FK145" s="42"/>
      <c r="FL145" s="42"/>
      <c r="FM145" s="42"/>
      <c r="FN145" s="42"/>
      <c r="FO145" s="42"/>
      <c r="FP145" s="42"/>
      <c r="FQ145" s="42"/>
      <c r="FR145" s="43"/>
      <c r="FS145" s="43"/>
      <c r="FT145" s="43"/>
      <c r="FU145" s="43"/>
      <c r="FV145" s="43"/>
      <c r="FW145" s="43"/>
      <c r="FX145" s="42"/>
      <c r="FY145" s="42"/>
      <c r="FZ145" s="42"/>
      <c r="GA145" s="42"/>
      <c r="GB145" s="42"/>
      <c r="GC145" s="42"/>
      <c r="GD145" s="42"/>
      <c r="GE145" s="42"/>
      <c r="GF145" s="43"/>
      <c r="GG145" s="43"/>
      <c r="GH145" s="43"/>
      <c r="GI145" s="43"/>
      <c r="GJ145" s="43"/>
      <c r="GK145" s="43"/>
      <c r="GL145" s="42"/>
      <c r="GM145" s="42"/>
      <c r="GN145" s="42"/>
      <c r="GO145" s="42"/>
      <c r="GP145" s="42"/>
      <c r="GQ145" s="42"/>
      <c r="GR145" s="42"/>
      <c r="GS145" s="42"/>
      <c r="GT145" s="43"/>
      <c r="GU145" s="43"/>
      <c r="GV145" s="43"/>
      <c r="GW145" s="43"/>
      <c r="GX145" s="43"/>
      <c r="GY145" s="43"/>
      <c r="GZ145" s="42"/>
      <c r="HA145" s="42"/>
      <c r="HB145" s="42"/>
      <c r="HC145" s="42"/>
      <c r="HD145" s="42"/>
      <c r="HE145" s="42"/>
      <c r="HF145" s="42"/>
      <c r="HG145" s="42"/>
      <c r="HH145" s="43"/>
      <c r="HI145" s="43"/>
      <c r="HJ145" s="43"/>
      <c r="HK145" s="43"/>
      <c r="HL145" s="43"/>
      <c r="HM145" s="43"/>
      <c r="HN145" s="42"/>
      <c r="HO145" s="42"/>
      <c r="HP145" s="42"/>
      <c r="HQ145" s="42"/>
      <c r="HR145" s="42"/>
      <c r="HS145" s="42"/>
      <c r="HT145" s="42"/>
      <c r="HU145" s="42"/>
      <c r="HV145" s="43"/>
      <c r="HW145" s="43"/>
      <c r="HX145" s="43"/>
      <c r="HY145" s="43"/>
      <c r="HZ145" s="43"/>
      <c r="IA145" s="43"/>
      <c r="IB145" s="42"/>
      <c r="IC145" s="42"/>
      <c r="ID145" s="42"/>
      <c r="IE145" s="42"/>
      <c r="IF145" s="42"/>
      <c r="IG145" s="42"/>
      <c r="IH145" s="42"/>
      <c r="II145" s="42"/>
      <c r="IJ145" s="43"/>
      <c r="IK145" s="43"/>
      <c r="IL145" s="43"/>
      <c r="IM145" s="43"/>
      <c r="IN145" s="43"/>
      <c r="IO145" s="43"/>
      <c r="IP145" s="42"/>
      <c r="IQ145" s="42"/>
      <c r="IR145" s="42"/>
      <c r="IS145" s="42"/>
      <c r="IT145" s="42"/>
      <c r="IU145" s="42"/>
      <c r="IV145" s="42"/>
      <c r="IW145" s="42"/>
      <c r="IX145" s="43"/>
      <c r="IY145" s="43"/>
      <c r="IZ145" s="43"/>
      <c r="JA145" s="43"/>
      <c r="JB145" s="43"/>
      <c r="JC145" s="43"/>
      <c r="JD145" s="42"/>
      <c r="JE145" s="42"/>
      <c r="JF145" s="42"/>
      <c r="JG145" s="42"/>
      <c r="JH145" s="42"/>
      <c r="JI145" s="42"/>
      <c r="JJ145" s="42"/>
      <c r="JK145" s="42"/>
      <c r="JL145" s="43"/>
      <c r="JM145" s="43"/>
      <c r="JN145" s="43"/>
      <c r="JO145" s="43"/>
      <c r="JP145" s="43"/>
      <c r="JQ145" s="43"/>
      <c r="JR145" s="42"/>
      <c r="JS145" s="42"/>
      <c r="JT145" s="42"/>
      <c r="JU145" s="42"/>
      <c r="JV145" s="42"/>
      <c r="JW145" s="42"/>
      <c r="JX145" s="42"/>
      <c r="JY145" s="42"/>
      <c r="JZ145" s="43"/>
      <c r="KA145" s="43"/>
      <c r="KB145" s="43"/>
      <c r="KC145" s="43"/>
      <c r="KD145" s="43"/>
      <c r="KE145" s="43"/>
      <c r="KF145" s="42"/>
      <c r="KG145" s="42"/>
      <c r="KH145" s="42"/>
      <c r="KI145" s="42"/>
      <c r="KJ145" s="42"/>
      <c r="KK145" s="42"/>
      <c r="KL145" s="42"/>
      <c r="KM145" s="42"/>
      <c r="KN145" s="43"/>
      <c r="KO145" s="43"/>
      <c r="KP145" s="43"/>
      <c r="KQ145" s="43"/>
      <c r="KR145" s="43"/>
      <c r="KS145" s="43"/>
      <c r="KT145" s="42"/>
      <c r="KU145" s="42"/>
      <c r="KV145" s="42"/>
      <c r="KW145" s="42"/>
      <c r="KX145" s="42"/>
      <c r="KY145" s="42"/>
      <c r="KZ145" s="42"/>
      <c r="LA145" s="42"/>
      <c r="LB145" s="43"/>
      <c r="LC145" s="43"/>
      <c r="LD145" s="43"/>
      <c r="LE145" s="43"/>
      <c r="LF145" s="43"/>
      <c r="LG145" s="43"/>
      <c r="LH145" s="42"/>
      <c r="LI145" s="42"/>
      <c r="LJ145" s="42"/>
      <c r="LK145" s="42"/>
      <c r="LL145" s="42"/>
      <c r="LM145" s="42"/>
      <c r="LN145" s="42"/>
      <c r="LO145" s="42"/>
      <c r="LP145" s="43"/>
      <c r="LQ145" s="43"/>
      <c r="LR145" s="43"/>
      <c r="LS145" s="43"/>
      <c r="LT145" s="43"/>
      <c r="LU145" s="43"/>
      <c r="LV145" s="42"/>
      <c r="LW145" s="42"/>
      <c r="LX145" s="42"/>
      <c r="LY145" s="42"/>
      <c r="LZ145" s="42"/>
      <c r="MA145" s="42"/>
      <c r="MB145" s="42"/>
      <c r="MC145" s="42"/>
      <c r="MD145" s="43"/>
      <c r="ME145" s="43"/>
      <c r="MF145" s="43"/>
      <c r="MG145" s="43"/>
      <c r="MH145" s="43"/>
      <c r="MI145" s="43"/>
      <c r="MJ145" s="42"/>
      <c r="MK145" s="42"/>
      <c r="ML145" s="42"/>
      <c r="MM145" s="42"/>
      <c r="MN145" s="42"/>
      <c r="MO145" s="42"/>
      <c r="MP145" s="42"/>
      <c r="MQ145" s="42"/>
      <c r="MR145" s="43"/>
      <c r="MS145" s="43"/>
      <c r="MT145" s="43"/>
      <c r="MU145" s="43"/>
      <c r="MV145" s="43"/>
      <c r="MW145" s="43"/>
      <c r="MX145" s="42"/>
      <c r="MY145" s="42"/>
      <c r="MZ145" s="42"/>
      <c r="NA145" s="42"/>
      <c r="NB145" s="42"/>
      <c r="NC145" s="42"/>
      <c r="ND145" s="42"/>
      <c r="NE145" s="42"/>
      <c r="NF145" s="43"/>
      <c r="NG145" s="43"/>
      <c r="NH145" s="43"/>
      <c r="NI145" s="43"/>
      <c r="NJ145" s="43"/>
      <c r="NK145" s="43"/>
      <c r="NL145" s="42"/>
      <c r="NM145" s="42"/>
      <c r="NN145" s="42"/>
      <c r="NO145" s="42"/>
      <c r="NP145" s="42"/>
      <c r="NQ145" s="42"/>
      <c r="NR145" s="42"/>
      <c r="NS145" s="42"/>
      <c r="NT145" s="43"/>
      <c r="NU145" s="43"/>
      <c r="NV145" s="43"/>
      <c r="NW145" s="43"/>
      <c r="NX145" s="43"/>
      <c r="NY145" s="43"/>
      <c r="NZ145" s="42"/>
      <c r="OA145" s="42"/>
      <c r="OB145" s="42"/>
      <c r="OC145" s="42"/>
      <c r="OD145" s="42"/>
      <c r="OE145" s="42"/>
      <c r="OF145" s="42"/>
      <c r="OG145" s="42"/>
      <c r="OH145" s="43"/>
      <c r="OI145" s="43"/>
      <c r="OJ145" s="43"/>
      <c r="OK145" s="43"/>
      <c r="OL145" s="43"/>
      <c r="OM145" s="43"/>
      <c r="ON145" s="42"/>
      <c r="OO145" s="42"/>
      <c r="OP145" s="42"/>
      <c r="OQ145" s="42"/>
      <c r="OR145" s="42"/>
      <c r="OS145" s="42"/>
      <c r="OT145" s="42"/>
      <c r="OU145" s="42"/>
      <c r="OV145" s="43"/>
      <c r="OW145" s="43"/>
      <c r="OX145" s="43"/>
      <c r="OY145" s="43"/>
      <c r="OZ145" s="43"/>
      <c r="PA145" s="43"/>
      <c r="PB145" s="42"/>
      <c r="PC145" s="42"/>
      <c r="PD145" s="42"/>
      <c r="PE145" s="42"/>
      <c r="PF145" s="42"/>
      <c r="PG145" s="42"/>
      <c r="PH145" s="42"/>
      <c r="PI145" s="42"/>
      <c r="PJ145" s="43"/>
      <c r="PK145" s="43"/>
      <c r="PL145" s="43"/>
      <c r="PM145" s="43"/>
      <c r="PN145" s="43"/>
      <c r="PO145" s="43"/>
      <c r="PP145" s="42"/>
      <c r="PQ145" s="42"/>
      <c r="PR145" s="42"/>
      <c r="PS145" s="42"/>
      <c r="PT145" s="42"/>
      <c r="PU145" s="42"/>
      <c r="PV145" s="42"/>
      <c r="PW145" s="42"/>
      <c r="PX145" s="43"/>
      <c r="PY145" s="43"/>
      <c r="PZ145" s="43"/>
      <c r="QA145" s="43"/>
      <c r="QB145" s="43"/>
      <c r="QC145" s="43"/>
      <c r="QD145" s="42"/>
      <c r="QE145" s="42"/>
      <c r="QF145" s="42"/>
      <c r="QG145" s="42"/>
      <c r="QH145" s="42"/>
      <c r="QI145" s="42"/>
      <c r="QJ145" s="42"/>
      <c r="QK145" s="42"/>
      <c r="QL145" s="43"/>
      <c r="QM145" s="43"/>
      <c r="QN145" s="43"/>
      <c r="QO145" s="43"/>
      <c r="QP145" s="43"/>
      <c r="QQ145" s="43"/>
      <c r="QR145" s="42"/>
      <c r="QS145" s="42"/>
      <c r="QT145" s="42"/>
      <c r="QU145" s="42"/>
      <c r="QV145" s="42"/>
      <c r="QW145" s="42"/>
      <c r="QX145" s="42"/>
      <c r="QY145" s="42"/>
      <c r="QZ145" s="43"/>
      <c r="RA145" s="43"/>
      <c r="RB145" s="43"/>
      <c r="RC145" s="43"/>
      <c r="RD145" s="43"/>
      <c r="RE145" s="43"/>
      <c r="RF145" s="42"/>
      <c r="RG145" s="42"/>
      <c r="RH145" s="42"/>
      <c r="RI145" s="42"/>
      <c r="RJ145" s="42"/>
      <c r="RK145" s="42"/>
      <c r="RL145" s="42"/>
      <c r="RM145" s="42"/>
      <c r="RN145" s="43"/>
      <c r="RO145" s="43"/>
      <c r="RP145" s="43"/>
      <c r="RQ145" s="43"/>
      <c r="RR145" s="43"/>
      <c r="RS145" s="43"/>
      <c r="RT145" s="42"/>
      <c r="RU145" s="42"/>
      <c r="RV145" s="42"/>
      <c r="RW145" s="42"/>
      <c r="RX145" s="42"/>
      <c r="RY145" s="42"/>
      <c r="RZ145" s="42"/>
    </row>
    <row r="146" spans="1:494" ht="86.25" customHeight="1" x14ac:dyDescent="0.25">
      <c r="A146" s="40" t="s">
        <v>102</v>
      </c>
      <c r="B146" s="3" t="s">
        <v>23</v>
      </c>
      <c r="C146" s="3" t="s">
        <v>6</v>
      </c>
      <c r="D146" s="7">
        <f t="shared" si="55"/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f>2000000-2000000</f>
        <v>0</v>
      </c>
      <c r="K146" s="7">
        <v>0</v>
      </c>
      <c r="L146" s="7">
        <v>0</v>
      </c>
      <c r="M146" s="42"/>
      <c r="N146" s="42"/>
      <c r="O146" s="42"/>
      <c r="P146" s="42"/>
      <c r="Q146" s="42"/>
      <c r="R146" s="42"/>
      <c r="S146" s="42"/>
      <c r="T146" s="43"/>
      <c r="U146" s="43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  <c r="AI146" s="43"/>
      <c r="AJ146" s="43"/>
      <c r="AK146" s="43"/>
      <c r="AL146" s="43"/>
      <c r="AM146" s="43"/>
      <c r="AN146" s="42"/>
      <c r="AO146" s="42"/>
      <c r="AP146" s="42"/>
      <c r="AQ146" s="42"/>
      <c r="AR146" s="42"/>
      <c r="AS146" s="42"/>
      <c r="AT146" s="42"/>
      <c r="AU146" s="42"/>
      <c r="AV146" s="43"/>
      <c r="AW146" s="43"/>
      <c r="AX146" s="43"/>
      <c r="AY146" s="43"/>
      <c r="AZ146" s="43"/>
      <c r="BA146" s="43"/>
      <c r="BB146" s="42"/>
      <c r="BC146" s="42"/>
      <c r="BD146" s="42"/>
      <c r="BE146" s="42"/>
      <c r="BF146" s="42"/>
      <c r="BG146" s="42"/>
      <c r="BH146" s="42"/>
      <c r="BI146" s="42"/>
      <c r="BJ146" s="43"/>
      <c r="BK146" s="43"/>
      <c r="BL146" s="43"/>
      <c r="BM146" s="43"/>
      <c r="BN146" s="43"/>
      <c r="BO146" s="43"/>
      <c r="BP146" s="42"/>
      <c r="BQ146" s="42"/>
      <c r="BR146" s="42"/>
      <c r="BS146" s="42"/>
      <c r="BT146" s="42"/>
      <c r="BU146" s="42"/>
      <c r="BV146" s="42"/>
      <c r="BW146" s="42"/>
      <c r="BX146" s="43"/>
      <c r="BY146" s="43"/>
      <c r="BZ146" s="43"/>
      <c r="CA146" s="43"/>
      <c r="CB146" s="43"/>
      <c r="CC146" s="43"/>
      <c r="CD146" s="42"/>
      <c r="CE146" s="42"/>
      <c r="CF146" s="42"/>
      <c r="CG146" s="42"/>
      <c r="CH146" s="42"/>
      <c r="CI146" s="42"/>
      <c r="CJ146" s="42"/>
      <c r="CK146" s="42"/>
      <c r="CL146" s="43"/>
      <c r="CM146" s="43"/>
      <c r="CN146" s="43"/>
      <c r="CO146" s="43"/>
      <c r="CP146" s="43"/>
      <c r="CQ146" s="43"/>
      <c r="CR146" s="42"/>
      <c r="CS146" s="42"/>
      <c r="CT146" s="42"/>
      <c r="CU146" s="42"/>
      <c r="CV146" s="42"/>
      <c r="CW146" s="42"/>
      <c r="CX146" s="42"/>
      <c r="CY146" s="42"/>
      <c r="CZ146" s="43"/>
      <c r="DA146" s="43"/>
      <c r="DB146" s="43"/>
      <c r="DC146" s="43"/>
      <c r="DD146" s="43"/>
      <c r="DE146" s="43"/>
      <c r="DF146" s="42"/>
      <c r="DG146" s="42"/>
      <c r="DH146" s="42"/>
      <c r="DI146" s="42"/>
      <c r="DJ146" s="42"/>
      <c r="DK146" s="42"/>
      <c r="DL146" s="42"/>
      <c r="DM146" s="42"/>
      <c r="DN146" s="43"/>
      <c r="DO146" s="43"/>
      <c r="DP146" s="43"/>
      <c r="DQ146" s="43"/>
      <c r="DR146" s="43"/>
      <c r="DS146" s="43"/>
      <c r="DT146" s="42"/>
      <c r="DU146" s="42"/>
      <c r="DV146" s="42"/>
      <c r="DW146" s="42"/>
      <c r="DX146" s="42"/>
      <c r="DY146" s="42"/>
      <c r="DZ146" s="42"/>
      <c r="EA146" s="42"/>
      <c r="EB146" s="43"/>
      <c r="EC146" s="43"/>
      <c r="ED146" s="43"/>
      <c r="EE146" s="43"/>
      <c r="EF146" s="43"/>
      <c r="EG146" s="43"/>
      <c r="EH146" s="42"/>
      <c r="EI146" s="42"/>
      <c r="EJ146" s="42"/>
      <c r="EK146" s="42"/>
      <c r="EL146" s="42"/>
      <c r="EM146" s="42"/>
      <c r="EN146" s="42"/>
      <c r="EO146" s="42"/>
      <c r="EP146" s="43"/>
      <c r="EQ146" s="43"/>
      <c r="ER146" s="43"/>
      <c r="ES146" s="43"/>
      <c r="ET146" s="43"/>
      <c r="EU146" s="43"/>
      <c r="EV146" s="42"/>
      <c r="EW146" s="42"/>
      <c r="EX146" s="42"/>
      <c r="EY146" s="42"/>
      <c r="EZ146" s="42"/>
      <c r="FA146" s="42"/>
      <c r="FB146" s="42"/>
      <c r="FC146" s="42"/>
      <c r="FD146" s="43"/>
      <c r="FE146" s="43"/>
      <c r="FF146" s="43"/>
      <c r="FG146" s="43"/>
      <c r="FH146" s="43"/>
      <c r="FI146" s="43"/>
      <c r="FJ146" s="42"/>
      <c r="FK146" s="42"/>
      <c r="FL146" s="42"/>
      <c r="FM146" s="42"/>
      <c r="FN146" s="42"/>
      <c r="FO146" s="42"/>
      <c r="FP146" s="42"/>
      <c r="FQ146" s="42"/>
      <c r="FR146" s="43"/>
      <c r="FS146" s="43"/>
      <c r="FT146" s="43"/>
      <c r="FU146" s="43"/>
      <c r="FV146" s="43"/>
      <c r="FW146" s="43"/>
      <c r="FX146" s="42"/>
      <c r="FY146" s="42"/>
      <c r="FZ146" s="42"/>
      <c r="GA146" s="42"/>
      <c r="GB146" s="42"/>
      <c r="GC146" s="42"/>
      <c r="GD146" s="42"/>
      <c r="GE146" s="42"/>
      <c r="GF146" s="43"/>
      <c r="GG146" s="43"/>
      <c r="GH146" s="43"/>
      <c r="GI146" s="43"/>
      <c r="GJ146" s="43"/>
      <c r="GK146" s="43"/>
      <c r="GL146" s="42"/>
      <c r="GM146" s="42"/>
      <c r="GN146" s="42"/>
      <c r="GO146" s="42"/>
      <c r="GP146" s="42"/>
      <c r="GQ146" s="42"/>
      <c r="GR146" s="42"/>
      <c r="GS146" s="42"/>
      <c r="GT146" s="43"/>
      <c r="GU146" s="43"/>
      <c r="GV146" s="43"/>
      <c r="GW146" s="43"/>
      <c r="GX146" s="43"/>
      <c r="GY146" s="43"/>
      <c r="GZ146" s="42"/>
      <c r="HA146" s="42"/>
      <c r="HB146" s="42"/>
      <c r="HC146" s="42"/>
      <c r="HD146" s="42"/>
      <c r="HE146" s="42"/>
      <c r="HF146" s="42"/>
      <c r="HG146" s="42"/>
      <c r="HH146" s="43"/>
      <c r="HI146" s="43"/>
      <c r="HJ146" s="43"/>
      <c r="HK146" s="43"/>
      <c r="HL146" s="43"/>
      <c r="HM146" s="43"/>
      <c r="HN146" s="42"/>
      <c r="HO146" s="42"/>
      <c r="HP146" s="42"/>
      <c r="HQ146" s="42"/>
      <c r="HR146" s="42"/>
      <c r="HS146" s="42"/>
      <c r="HT146" s="42"/>
      <c r="HU146" s="42"/>
      <c r="HV146" s="43"/>
      <c r="HW146" s="43"/>
      <c r="HX146" s="43"/>
      <c r="HY146" s="43"/>
      <c r="HZ146" s="43"/>
      <c r="IA146" s="43"/>
      <c r="IB146" s="42"/>
      <c r="IC146" s="42"/>
      <c r="ID146" s="42"/>
      <c r="IE146" s="42"/>
      <c r="IF146" s="42"/>
      <c r="IG146" s="42"/>
      <c r="IH146" s="42"/>
      <c r="II146" s="42"/>
      <c r="IJ146" s="43"/>
      <c r="IK146" s="43"/>
      <c r="IL146" s="43"/>
      <c r="IM146" s="43"/>
      <c r="IN146" s="43"/>
      <c r="IO146" s="43"/>
      <c r="IP146" s="42"/>
      <c r="IQ146" s="42"/>
      <c r="IR146" s="42"/>
      <c r="IS146" s="42"/>
      <c r="IT146" s="42"/>
      <c r="IU146" s="42"/>
      <c r="IV146" s="42"/>
      <c r="IW146" s="42"/>
      <c r="IX146" s="43"/>
      <c r="IY146" s="43"/>
      <c r="IZ146" s="43"/>
      <c r="JA146" s="43"/>
      <c r="JB146" s="43"/>
      <c r="JC146" s="43"/>
      <c r="JD146" s="42"/>
      <c r="JE146" s="42"/>
      <c r="JF146" s="42"/>
      <c r="JG146" s="42"/>
      <c r="JH146" s="42"/>
      <c r="JI146" s="42"/>
      <c r="JJ146" s="42"/>
      <c r="JK146" s="42"/>
      <c r="JL146" s="43"/>
      <c r="JM146" s="43"/>
      <c r="JN146" s="43"/>
      <c r="JO146" s="43"/>
      <c r="JP146" s="43"/>
      <c r="JQ146" s="43"/>
      <c r="JR146" s="42"/>
      <c r="JS146" s="42"/>
      <c r="JT146" s="42"/>
      <c r="JU146" s="42"/>
      <c r="JV146" s="42"/>
      <c r="JW146" s="42"/>
      <c r="JX146" s="42"/>
      <c r="JY146" s="42"/>
      <c r="JZ146" s="43"/>
      <c r="KA146" s="43"/>
      <c r="KB146" s="43"/>
      <c r="KC146" s="43"/>
      <c r="KD146" s="43"/>
      <c r="KE146" s="43"/>
      <c r="KF146" s="42"/>
      <c r="KG146" s="42"/>
      <c r="KH146" s="42"/>
      <c r="KI146" s="42"/>
      <c r="KJ146" s="42"/>
      <c r="KK146" s="42"/>
      <c r="KL146" s="42"/>
      <c r="KM146" s="42"/>
      <c r="KN146" s="43"/>
      <c r="KO146" s="43"/>
      <c r="KP146" s="43"/>
      <c r="KQ146" s="43"/>
      <c r="KR146" s="43"/>
      <c r="KS146" s="43"/>
      <c r="KT146" s="42"/>
      <c r="KU146" s="42"/>
      <c r="KV146" s="42"/>
      <c r="KW146" s="42"/>
      <c r="KX146" s="42"/>
      <c r="KY146" s="42"/>
      <c r="KZ146" s="42"/>
      <c r="LA146" s="42"/>
      <c r="LB146" s="43"/>
      <c r="LC146" s="43"/>
      <c r="LD146" s="43"/>
      <c r="LE146" s="43"/>
      <c r="LF146" s="43"/>
      <c r="LG146" s="43"/>
      <c r="LH146" s="42"/>
      <c r="LI146" s="42"/>
      <c r="LJ146" s="42"/>
      <c r="LK146" s="42"/>
      <c r="LL146" s="42"/>
      <c r="LM146" s="42"/>
      <c r="LN146" s="42"/>
      <c r="LO146" s="42"/>
      <c r="LP146" s="43"/>
      <c r="LQ146" s="43"/>
      <c r="LR146" s="43"/>
      <c r="LS146" s="43"/>
      <c r="LT146" s="43"/>
      <c r="LU146" s="43"/>
      <c r="LV146" s="42"/>
      <c r="LW146" s="42"/>
      <c r="LX146" s="42"/>
      <c r="LY146" s="42"/>
      <c r="LZ146" s="42"/>
      <c r="MA146" s="42"/>
      <c r="MB146" s="42"/>
      <c r="MC146" s="42"/>
      <c r="MD146" s="43"/>
      <c r="ME146" s="43"/>
      <c r="MF146" s="43"/>
      <c r="MG146" s="43"/>
      <c r="MH146" s="43"/>
      <c r="MI146" s="43"/>
      <c r="MJ146" s="42"/>
      <c r="MK146" s="42"/>
      <c r="ML146" s="42"/>
      <c r="MM146" s="42"/>
      <c r="MN146" s="42"/>
      <c r="MO146" s="42"/>
      <c r="MP146" s="42"/>
      <c r="MQ146" s="42"/>
      <c r="MR146" s="43"/>
      <c r="MS146" s="43"/>
      <c r="MT146" s="43"/>
      <c r="MU146" s="43"/>
      <c r="MV146" s="43"/>
      <c r="MW146" s="43"/>
      <c r="MX146" s="42"/>
      <c r="MY146" s="42"/>
      <c r="MZ146" s="42"/>
      <c r="NA146" s="42"/>
      <c r="NB146" s="42"/>
      <c r="NC146" s="42"/>
      <c r="ND146" s="42"/>
      <c r="NE146" s="42"/>
      <c r="NF146" s="43"/>
      <c r="NG146" s="43"/>
      <c r="NH146" s="43"/>
      <c r="NI146" s="43"/>
      <c r="NJ146" s="43"/>
      <c r="NK146" s="43"/>
      <c r="NL146" s="42"/>
      <c r="NM146" s="42"/>
      <c r="NN146" s="42"/>
      <c r="NO146" s="42"/>
      <c r="NP146" s="42"/>
      <c r="NQ146" s="42"/>
      <c r="NR146" s="42"/>
      <c r="NS146" s="42"/>
      <c r="NT146" s="43"/>
      <c r="NU146" s="43"/>
      <c r="NV146" s="43"/>
      <c r="NW146" s="43"/>
      <c r="NX146" s="43"/>
      <c r="NY146" s="43"/>
      <c r="NZ146" s="42"/>
      <c r="OA146" s="42"/>
      <c r="OB146" s="42"/>
      <c r="OC146" s="42"/>
      <c r="OD146" s="42"/>
      <c r="OE146" s="42"/>
      <c r="OF146" s="42"/>
      <c r="OG146" s="42"/>
      <c r="OH146" s="43"/>
      <c r="OI146" s="43"/>
      <c r="OJ146" s="43"/>
      <c r="OK146" s="43"/>
      <c r="OL146" s="43"/>
      <c r="OM146" s="43"/>
      <c r="ON146" s="42"/>
      <c r="OO146" s="42"/>
      <c r="OP146" s="42"/>
      <c r="OQ146" s="42"/>
      <c r="OR146" s="42"/>
      <c r="OS146" s="42"/>
      <c r="OT146" s="42"/>
      <c r="OU146" s="42"/>
      <c r="OV146" s="43"/>
      <c r="OW146" s="43"/>
      <c r="OX146" s="43"/>
      <c r="OY146" s="43"/>
      <c r="OZ146" s="43"/>
      <c r="PA146" s="43"/>
      <c r="PB146" s="42"/>
      <c r="PC146" s="42"/>
      <c r="PD146" s="42"/>
      <c r="PE146" s="42"/>
      <c r="PF146" s="42"/>
      <c r="PG146" s="42"/>
      <c r="PH146" s="42"/>
      <c r="PI146" s="42"/>
      <c r="PJ146" s="43"/>
      <c r="PK146" s="43"/>
      <c r="PL146" s="43"/>
      <c r="PM146" s="43"/>
      <c r="PN146" s="43"/>
      <c r="PO146" s="43"/>
      <c r="PP146" s="42"/>
      <c r="PQ146" s="42"/>
      <c r="PR146" s="42"/>
      <c r="PS146" s="42"/>
      <c r="PT146" s="42"/>
      <c r="PU146" s="42"/>
      <c r="PV146" s="42"/>
      <c r="PW146" s="42"/>
      <c r="PX146" s="43"/>
      <c r="PY146" s="43"/>
      <c r="PZ146" s="43"/>
      <c r="QA146" s="43"/>
      <c r="QB146" s="43"/>
      <c r="QC146" s="43"/>
      <c r="QD146" s="42"/>
      <c r="QE146" s="42"/>
      <c r="QF146" s="42"/>
      <c r="QG146" s="42"/>
      <c r="QH146" s="42"/>
      <c r="QI146" s="42"/>
      <c r="QJ146" s="42"/>
      <c r="QK146" s="42"/>
      <c r="QL146" s="43"/>
      <c r="QM146" s="43"/>
      <c r="QN146" s="43"/>
      <c r="QO146" s="43"/>
      <c r="QP146" s="43"/>
      <c r="QQ146" s="43"/>
      <c r="QR146" s="42"/>
      <c r="QS146" s="42"/>
      <c r="QT146" s="42"/>
      <c r="QU146" s="42"/>
      <c r="QV146" s="42"/>
      <c r="QW146" s="42"/>
      <c r="QX146" s="42"/>
      <c r="QY146" s="42"/>
      <c r="QZ146" s="43"/>
      <c r="RA146" s="43"/>
      <c r="RB146" s="43"/>
      <c r="RC146" s="43"/>
      <c r="RD146" s="43"/>
      <c r="RE146" s="43"/>
      <c r="RF146" s="42"/>
      <c r="RG146" s="42"/>
      <c r="RH146" s="42"/>
      <c r="RI146" s="42"/>
      <c r="RJ146" s="42"/>
      <c r="RK146" s="42"/>
      <c r="RL146" s="42"/>
      <c r="RM146" s="42"/>
      <c r="RN146" s="43"/>
      <c r="RO146" s="43"/>
      <c r="RP146" s="43"/>
      <c r="RQ146" s="43"/>
      <c r="RR146" s="43"/>
      <c r="RS146" s="43"/>
      <c r="RT146" s="42"/>
      <c r="RU146" s="42"/>
      <c r="RV146" s="42"/>
      <c r="RW146" s="42"/>
      <c r="RX146" s="42"/>
      <c r="RY146" s="42"/>
      <c r="RZ146" s="42"/>
    </row>
    <row r="147" spans="1:494" ht="86.25" customHeight="1" x14ac:dyDescent="0.25">
      <c r="A147" s="40" t="s">
        <v>146</v>
      </c>
      <c r="B147" s="3" t="s">
        <v>23</v>
      </c>
      <c r="C147" s="3" t="s">
        <v>6</v>
      </c>
      <c r="D147" s="7">
        <f t="shared" si="55"/>
        <v>229884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229884</v>
      </c>
      <c r="K147" s="7">
        <v>0</v>
      </c>
      <c r="L147" s="7">
        <v>0</v>
      </c>
      <c r="M147" s="42"/>
      <c r="N147" s="42"/>
      <c r="O147" s="42"/>
      <c r="P147" s="42"/>
      <c r="Q147" s="42"/>
      <c r="R147" s="42"/>
      <c r="S147" s="42"/>
      <c r="T147" s="43"/>
      <c r="U147" s="43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  <c r="AI147" s="43"/>
      <c r="AJ147" s="43"/>
      <c r="AK147" s="43"/>
      <c r="AL147" s="43"/>
      <c r="AM147" s="43"/>
      <c r="AN147" s="42"/>
      <c r="AO147" s="42"/>
      <c r="AP147" s="42"/>
      <c r="AQ147" s="42"/>
      <c r="AR147" s="42"/>
      <c r="AS147" s="42"/>
      <c r="AT147" s="42"/>
      <c r="AU147" s="42"/>
      <c r="AV147" s="43"/>
      <c r="AW147" s="43"/>
      <c r="AX147" s="43"/>
      <c r="AY147" s="43"/>
      <c r="AZ147" s="43"/>
      <c r="BA147" s="43"/>
      <c r="BB147" s="42"/>
      <c r="BC147" s="42"/>
      <c r="BD147" s="42"/>
      <c r="BE147" s="42"/>
      <c r="BF147" s="42"/>
      <c r="BG147" s="42"/>
      <c r="BH147" s="42"/>
      <c r="BI147" s="42"/>
      <c r="BJ147" s="43"/>
      <c r="BK147" s="43"/>
      <c r="BL147" s="43"/>
      <c r="BM147" s="43"/>
      <c r="BN147" s="43"/>
      <c r="BO147" s="43"/>
      <c r="BP147" s="42"/>
      <c r="BQ147" s="42"/>
      <c r="BR147" s="42"/>
      <c r="BS147" s="42"/>
      <c r="BT147" s="42"/>
      <c r="BU147" s="42"/>
      <c r="BV147" s="42"/>
      <c r="BW147" s="42"/>
      <c r="BX147" s="43"/>
      <c r="BY147" s="43"/>
      <c r="BZ147" s="43"/>
      <c r="CA147" s="43"/>
      <c r="CB147" s="43"/>
      <c r="CC147" s="43"/>
      <c r="CD147" s="42"/>
      <c r="CE147" s="42"/>
      <c r="CF147" s="42"/>
      <c r="CG147" s="42"/>
      <c r="CH147" s="42"/>
      <c r="CI147" s="42"/>
      <c r="CJ147" s="42"/>
      <c r="CK147" s="42"/>
      <c r="CL147" s="43"/>
      <c r="CM147" s="43"/>
      <c r="CN147" s="43"/>
      <c r="CO147" s="43"/>
      <c r="CP147" s="43"/>
      <c r="CQ147" s="43"/>
      <c r="CR147" s="42"/>
      <c r="CS147" s="42"/>
      <c r="CT147" s="42"/>
      <c r="CU147" s="42"/>
      <c r="CV147" s="42"/>
      <c r="CW147" s="42"/>
      <c r="CX147" s="42"/>
      <c r="CY147" s="42"/>
      <c r="CZ147" s="43"/>
      <c r="DA147" s="43"/>
      <c r="DB147" s="43"/>
      <c r="DC147" s="43"/>
      <c r="DD147" s="43"/>
      <c r="DE147" s="43"/>
      <c r="DF147" s="42"/>
      <c r="DG147" s="42"/>
      <c r="DH147" s="42"/>
      <c r="DI147" s="42"/>
      <c r="DJ147" s="42"/>
      <c r="DK147" s="42"/>
      <c r="DL147" s="42"/>
      <c r="DM147" s="42"/>
      <c r="DN147" s="43"/>
      <c r="DO147" s="43"/>
      <c r="DP147" s="43"/>
      <c r="DQ147" s="43"/>
      <c r="DR147" s="43"/>
      <c r="DS147" s="43"/>
      <c r="DT147" s="42"/>
      <c r="DU147" s="42"/>
      <c r="DV147" s="42"/>
      <c r="DW147" s="42"/>
      <c r="DX147" s="42"/>
      <c r="DY147" s="42"/>
      <c r="DZ147" s="42"/>
      <c r="EA147" s="42"/>
      <c r="EB147" s="43"/>
      <c r="EC147" s="43"/>
      <c r="ED147" s="43"/>
      <c r="EE147" s="43"/>
      <c r="EF147" s="43"/>
      <c r="EG147" s="43"/>
      <c r="EH147" s="42"/>
      <c r="EI147" s="42"/>
      <c r="EJ147" s="42"/>
      <c r="EK147" s="42"/>
      <c r="EL147" s="42"/>
      <c r="EM147" s="42"/>
      <c r="EN147" s="42"/>
      <c r="EO147" s="42"/>
      <c r="EP147" s="43"/>
      <c r="EQ147" s="43"/>
      <c r="ER147" s="43"/>
      <c r="ES147" s="43"/>
      <c r="ET147" s="43"/>
      <c r="EU147" s="43"/>
      <c r="EV147" s="42"/>
      <c r="EW147" s="42"/>
      <c r="EX147" s="42"/>
      <c r="EY147" s="42"/>
      <c r="EZ147" s="42"/>
      <c r="FA147" s="42"/>
      <c r="FB147" s="42"/>
      <c r="FC147" s="42"/>
      <c r="FD147" s="43"/>
      <c r="FE147" s="43"/>
      <c r="FF147" s="43"/>
      <c r="FG147" s="43"/>
      <c r="FH147" s="43"/>
      <c r="FI147" s="43"/>
      <c r="FJ147" s="42"/>
      <c r="FK147" s="42"/>
      <c r="FL147" s="42"/>
      <c r="FM147" s="42"/>
      <c r="FN147" s="42"/>
      <c r="FO147" s="42"/>
      <c r="FP147" s="42"/>
      <c r="FQ147" s="42"/>
      <c r="FR147" s="43"/>
      <c r="FS147" s="43"/>
      <c r="FT147" s="43"/>
      <c r="FU147" s="43"/>
      <c r="FV147" s="43"/>
      <c r="FW147" s="43"/>
      <c r="FX147" s="42"/>
      <c r="FY147" s="42"/>
      <c r="FZ147" s="42"/>
      <c r="GA147" s="42"/>
      <c r="GB147" s="42"/>
      <c r="GC147" s="42"/>
      <c r="GD147" s="42"/>
      <c r="GE147" s="42"/>
      <c r="GF147" s="43"/>
      <c r="GG147" s="43"/>
      <c r="GH147" s="43"/>
      <c r="GI147" s="43"/>
      <c r="GJ147" s="43"/>
      <c r="GK147" s="43"/>
      <c r="GL147" s="42"/>
      <c r="GM147" s="42"/>
      <c r="GN147" s="42"/>
      <c r="GO147" s="42"/>
      <c r="GP147" s="42"/>
      <c r="GQ147" s="42"/>
      <c r="GR147" s="42"/>
      <c r="GS147" s="42"/>
      <c r="GT147" s="43"/>
      <c r="GU147" s="43"/>
      <c r="GV147" s="43"/>
      <c r="GW147" s="43"/>
      <c r="GX147" s="43"/>
      <c r="GY147" s="43"/>
      <c r="GZ147" s="42"/>
      <c r="HA147" s="42"/>
      <c r="HB147" s="42"/>
      <c r="HC147" s="42"/>
      <c r="HD147" s="42"/>
      <c r="HE147" s="42"/>
      <c r="HF147" s="42"/>
      <c r="HG147" s="42"/>
      <c r="HH147" s="43"/>
      <c r="HI147" s="43"/>
      <c r="HJ147" s="43"/>
      <c r="HK147" s="43"/>
      <c r="HL147" s="43"/>
      <c r="HM147" s="43"/>
      <c r="HN147" s="42"/>
      <c r="HO147" s="42"/>
      <c r="HP147" s="42"/>
      <c r="HQ147" s="42"/>
      <c r="HR147" s="42"/>
      <c r="HS147" s="42"/>
      <c r="HT147" s="42"/>
      <c r="HU147" s="42"/>
      <c r="HV147" s="43"/>
      <c r="HW147" s="43"/>
      <c r="HX147" s="43"/>
      <c r="HY147" s="43"/>
      <c r="HZ147" s="43"/>
      <c r="IA147" s="43"/>
      <c r="IB147" s="42"/>
      <c r="IC147" s="42"/>
      <c r="ID147" s="42"/>
      <c r="IE147" s="42"/>
      <c r="IF147" s="42"/>
      <c r="IG147" s="42"/>
      <c r="IH147" s="42"/>
      <c r="II147" s="42"/>
      <c r="IJ147" s="43"/>
      <c r="IK147" s="43"/>
      <c r="IL147" s="43"/>
      <c r="IM147" s="43"/>
      <c r="IN147" s="43"/>
      <c r="IO147" s="43"/>
      <c r="IP147" s="42"/>
      <c r="IQ147" s="42"/>
      <c r="IR147" s="42"/>
      <c r="IS147" s="42"/>
      <c r="IT147" s="42"/>
      <c r="IU147" s="42"/>
      <c r="IV147" s="42"/>
      <c r="IW147" s="42"/>
      <c r="IX147" s="43"/>
      <c r="IY147" s="43"/>
      <c r="IZ147" s="43"/>
      <c r="JA147" s="43"/>
      <c r="JB147" s="43"/>
      <c r="JC147" s="43"/>
      <c r="JD147" s="42"/>
      <c r="JE147" s="42"/>
      <c r="JF147" s="42"/>
      <c r="JG147" s="42"/>
      <c r="JH147" s="42"/>
      <c r="JI147" s="42"/>
      <c r="JJ147" s="42"/>
      <c r="JK147" s="42"/>
      <c r="JL147" s="43"/>
      <c r="JM147" s="43"/>
      <c r="JN147" s="43"/>
      <c r="JO147" s="43"/>
      <c r="JP147" s="43"/>
      <c r="JQ147" s="43"/>
      <c r="JR147" s="42"/>
      <c r="JS147" s="42"/>
      <c r="JT147" s="42"/>
      <c r="JU147" s="42"/>
      <c r="JV147" s="42"/>
      <c r="JW147" s="42"/>
      <c r="JX147" s="42"/>
      <c r="JY147" s="42"/>
      <c r="JZ147" s="43"/>
      <c r="KA147" s="43"/>
      <c r="KB147" s="43"/>
      <c r="KC147" s="43"/>
      <c r="KD147" s="43"/>
      <c r="KE147" s="43"/>
      <c r="KF147" s="42"/>
      <c r="KG147" s="42"/>
      <c r="KH147" s="42"/>
      <c r="KI147" s="42"/>
      <c r="KJ147" s="42"/>
      <c r="KK147" s="42"/>
      <c r="KL147" s="42"/>
      <c r="KM147" s="42"/>
      <c r="KN147" s="43"/>
      <c r="KO147" s="43"/>
      <c r="KP147" s="43"/>
      <c r="KQ147" s="43"/>
      <c r="KR147" s="43"/>
      <c r="KS147" s="43"/>
      <c r="KT147" s="42"/>
      <c r="KU147" s="42"/>
      <c r="KV147" s="42"/>
      <c r="KW147" s="42"/>
      <c r="KX147" s="42"/>
      <c r="KY147" s="42"/>
      <c r="KZ147" s="42"/>
      <c r="LA147" s="42"/>
      <c r="LB147" s="43"/>
      <c r="LC147" s="43"/>
      <c r="LD147" s="43"/>
      <c r="LE147" s="43"/>
      <c r="LF147" s="43"/>
      <c r="LG147" s="43"/>
      <c r="LH147" s="42"/>
      <c r="LI147" s="42"/>
      <c r="LJ147" s="42"/>
      <c r="LK147" s="42"/>
      <c r="LL147" s="42"/>
      <c r="LM147" s="42"/>
      <c r="LN147" s="42"/>
      <c r="LO147" s="42"/>
      <c r="LP147" s="43"/>
      <c r="LQ147" s="43"/>
      <c r="LR147" s="43"/>
      <c r="LS147" s="43"/>
      <c r="LT147" s="43"/>
      <c r="LU147" s="43"/>
      <c r="LV147" s="42"/>
      <c r="LW147" s="42"/>
      <c r="LX147" s="42"/>
      <c r="LY147" s="42"/>
      <c r="LZ147" s="42"/>
      <c r="MA147" s="42"/>
      <c r="MB147" s="42"/>
      <c r="MC147" s="42"/>
      <c r="MD147" s="43"/>
      <c r="ME147" s="43"/>
      <c r="MF147" s="43"/>
      <c r="MG147" s="43"/>
      <c r="MH147" s="43"/>
      <c r="MI147" s="43"/>
      <c r="MJ147" s="42"/>
      <c r="MK147" s="42"/>
      <c r="ML147" s="42"/>
      <c r="MM147" s="42"/>
      <c r="MN147" s="42"/>
      <c r="MO147" s="42"/>
      <c r="MP147" s="42"/>
      <c r="MQ147" s="42"/>
      <c r="MR147" s="43"/>
      <c r="MS147" s="43"/>
      <c r="MT147" s="43"/>
      <c r="MU147" s="43"/>
      <c r="MV147" s="43"/>
      <c r="MW147" s="43"/>
      <c r="MX147" s="42"/>
      <c r="MY147" s="42"/>
      <c r="MZ147" s="42"/>
      <c r="NA147" s="42"/>
      <c r="NB147" s="42"/>
      <c r="NC147" s="42"/>
      <c r="ND147" s="42"/>
      <c r="NE147" s="42"/>
      <c r="NF147" s="43"/>
      <c r="NG147" s="43"/>
      <c r="NH147" s="43"/>
      <c r="NI147" s="43"/>
      <c r="NJ147" s="43"/>
      <c r="NK147" s="43"/>
      <c r="NL147" s="42"/>
      <c r="NM147" s="42"/>
      <c r="NN147" s="42"/>
      <c r="NO147" s="42"/>
      <c r="NP147" s="42"/>
      <c r="NQ147" s="42"/>
      <c r="NR147" s="42"/>
      <c r="NS147" s="42"/>
      <c r="NT147" s="43"/>
      <c r="NU147" s="43"/>
      <c r="NV147" s="43"/>
      <c r="NW147" s="43"/>
      <c r="NX147" s="43"/>
      <c r="NY147" s="43"/>
      <c r="NZ147" s="42"/>
      <c r="OA147" s="42"/>
      <c r="OB147" s="42"/>
      <c r="OC147" s="42"/>
      <c r="OD147" s="42"/>
      <c r="OE147" s="42"/>
      <c r="OF147" s="42"/>
      <c r="OG147" s="42"/>
      <c r="OH147" s="43"/>
      <c r="OI147" s="43"/>
      <c r="OJ147" s="43"/>
      <c r="OK147" s="43"/>
      <c r="OL147" s="43"/>
      <c r="OM147" s="43"/>
      <c r="ON147" s="42"/>
      <c r="OO147" s="42"/>
      <c r="OP147" s="42"/>
      <c r="OQ147" s="42"/>
      <c r="OR147" s="42"/>
      <c r="OS147" s="42"/>
      <c r="OT147" s="42"/>
      <c r="OU147" s="42"/>
      <c r="OV147" s="43"/>
      <c r="OW147" s="43"/>
      <c r="OX147" s="43"/>
      <c r="OY147" s="43"/>
      <c r="OZ147" s="43"/>
      <c r="PA147" s="43"/>
      <c r="PB147" s="42"/>
      <c r="PC147" s="42"/>
      <c r="PD147" s="42"/>
      <c r="PE147" s="42"/>
      <c r="PF147" s="42"/>
      <c r="PG147" s="42"/>
      <c r="PH147" s="42"/>
      <c r="PI147" s="42"/>
      <c r="PJ147" s="43"/>
      <c r="PK147" s="43"/>
      <c r="PL147" s="43"/>
      <c r="PM147" s="43"/>
      <c r="PN147" s="43"/>
      <c r="PO147" s="43"/>
      <c r="PP147" s="42"/>
      <c r="PQ147" s="42"/>
      <c r="PR147" s="42"/>
      <c r="PS147" s="42"/>
      <c r="PT147" s="42"/>
      <c r="PU147" s="42"/>
      <c r="PV147" s="42"/>
      <c r="PW147" s="42"/>
      <c r="PX147" s="43"/>
      <c r="PY147" s="43"/>
      <c r="PZ147" s="43"/>
      <c r="QA147" s="43"/>
      <c r="QB147" s="43"/>
      <c r="QC147" s="43"/>
      <c r="QD147" s="42"/>
      <c r="QE147" s="42"/>
      <c r="QF147" s="42"/>
      <c r="QG147" s="42"/>
      <c r="QH147" s="42"/>
      <c r="QI147" s="42"/>
      <c r="QJ147" s="42"/>
      <c r="QK147" s="42"/>
      <c r="QL147" s="43"/>
      <c r="QM147" s="43"/>
      <c r="QN147" s="43"/>
      <c r="QO147" s="43"/>
      <c r="QP147" s="43"/>
      <c r="QQ147" s="43"/>
      <c r="QR147" s="42"/>
      <c r="QS147" s="42"/>
      <c r="QT147" s="42"/>
      <c r="QU147" s="42"/>
      <c r="QV147" s="42"/>
      <c r="QW147" s="42"/>
      <c r="QX147" s="42"/>
      <c r="QY147" s="42"/>
      <c r="QZ147" s="43"/>
      <c r="RA147" s="43"/>
      <c r="RB147" s="43"/>
      <c r="RC147" s="43"/>
      <c r="RD147" s="43"/>
      <c r="RE147" s="43"/>
      <c r="RF147" s="42"/>
      <c r="RG147" s="42"/>
      <c r="RH147" s="42"/>
      <c r="RI147" s="42"/>
      <c r="RJ147" s="42"/>
      <c r="RK147" s="42"/>
      <c r="RL147" s="42"/>
      <c r="RM147" s="42"/>
      <c r="RN147" s="43"/>
      <c r="RO147" s="43"/>
      <c r="RP147" s="43"/>
      <c r="RQ147" s="43"/>
      <c r="RR147" s="43"/>
      <c r="RS147" s="43"/>
      <c r="RT147" s="42"/>
      <c r="RU147" s="42"/>
      <c r="RV147" s="42"/>
      <c r="RW147" s="42"/>
      <c r="RX147" s="42"/>
      <c r="RY147" s="42"/>
      <c r="RZ147" s="42"/>
    </row>
    <row r="148" spans="1:494" ht="86.25" customHeight="1" x14ac:dyDescent="0.25">
      <c r="A148" s="40" t="s">
        <v>147</v>
      </c>
      <c r="B148" s="3" t="s">
        <v>23</v>
      </c>
      <c r="C148" s="3" t="s">
        <v>6</v>
      </c>
      <c r="D148" s="7">
        <f t="shared" si="55"/>
        <v>35500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35500</v>
      </c>
      <c r="K148" s="7">
        <v>0</v>
      </c>
      <c r="L148" s="7">
        <v>0</v>
      </c>
      <c r="M148" s="42"/>
      <c r="N148" s="42"/>
      <c r="O148" s="42"/>
      <c r="P148" s="42"/>
      <c r="Q148" s="42"/>
      <c r="R148" s="42"/>
      <c r="S148" s="42"/>
      <c r="T148" s="43"/>
      <c r="U148" s="43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  <c r="AI148" s="43"/>
      <c r="AJ148" s="43"/>
      <c r="AK148" s="43"/>
      <c r="AL148" s="43"/>
      <c r="AM148" s="43"/>
      <c r="AN148" s="42"/>
      <c r="AO148" s="42"/>
      <c r="AP148" s="42"/>
      <c r="AQ148" s="42"/>
      <c r="AR148" s="42"/>
      <c r="AS148" s="42"/>
      <c r="AT148" s="42"/>
      <c r="AU148" s="42"/>
      <c r="AV148" s="43"/>
      <c r="AW148" s="43"/>
      <c r="AX148" s="43"/>
      <c r="AY148" s="43"/>
      <c r="AZ148" s="43"/>
      <c r="BA148" s="43"/>
      <c r="BB148" s="42"/>
      <c r="BC148" s="42"/>
      <c r="BD148" s="42"/>
      <c r="BE148" s="42"/>
      <c r="BF148" s="42"/>
      <c r="BG148" s="42"/>
      <c r="BH148" s="42"/>
      <c r="BI148" s="42"/>
      <c r="BJ148" s="43"/>
      <c r="BK148" s="43"/>
      <c r="BL148" s="43"/>
      <c r="BM148" s="43"/>
      <c r="BN148" s="43"/>
      <c r="BO148" s="43"/>
      <c r="BP148" s="42"/>
      <c r="BQ148" s="42"/>
      <c r="BR148" s="42"/>
      <c r="BS148" s="42"/>
      <c r="BT148" s="42"/>
      <c r="BU148" s="42"/>
      <c r="BV148" s="42"/>
      <c r="BW148" s="42"/>
      <c r="BX148" s="43"/>
      <c r="BY148" s="43"/>
      <c r="BZ148" s="43"/>
      <c r="CA148" s="43"/>
      <c r="CB148" s="43"/>
      <c r="CC148" s="43"/>
      <c r="CD148" s="42"/>
      <c r="CE148" s="42"/>
      <c r="CF148" s="42"/>
      <c r="CG148" s="42"/>
      <c r="CH148" s="42"/>
      <c r="CI148" s="42"/>
      <c r="CJ148" s="42"/>
      <c r="CK148" s="42"/>
      <c r="CL148" s="43"/>
      <c r="CM148" s="43"/>
      <c r="CN148" s="43"/>
      <c r="CO148" s="43"/>
      <c r="CP148" s="43"/>
      <c r="CQ148" s="43"/>
      <c r="CR148" s="42"/>
      <c r="CS148" s="42"/>
      <c r="CT148" s="42"/>
      <c r="CU148" s="42"/>
      <c r="CV148" s="42"/>
      <c r="CW148" s="42"/>
      <c r="CX148" s="42"/>
      <c r="CY148" s="42"/>
      <c r="CZ148" s="43"/>
      <c r="DA148" s="43"/>
      <c r="DB148" s="43"/>
      <c r="DC148" s="43"/>
      <c r="DD148" s="43"/>
      <c r="DE148" s="43"/>
      <c r="DF148" s="42"/>
      <c r="DG148" s="42"/>
      <c r="DH148" s="42"/>
      <c r="DI148" s="42"/>
      <c r="DJ148" s="42"/>
      <c r="DK148" s="42"/>
      <c r="DL148" s="42"/>
      <c r="DM148" s="42"/>
      <c r="DN148" s="43"/>
      <c r="DO148" s="43"/>
      <c r="DP148" s="43"/>
      <c r="DQ148" s="43"/>
      <c r="DR148" s="43"/>
      <c r="DS148" s="43"/>
      <c r="DT148" s="42"/>
      <c r="DU148" s="42"/>
      <c r="DV148" s="42"/>
      <c r="DW148" s="42"/>
      <c r="DX148" s="42"/>
      <c r="DY148" s="42"/>
      <c r="DZ148" s="42"/>
      <c r="EA148" s="42"/>
      <c r="EB148" s="43"/>
      <c r="EC148" s="43"/>
      <c r="ED148" s="43"/>
      <c r="EE148" s="43"/>
      <c r="EF148" s="43"/>
      <c r="EG148" s="43"/>
      <c r="EH148" s="42"/>
      <c r="EI148" s="42"/>
      <c r="EJ148" s="42"/>
      <c r="EK148" s="42"/>
      <c r="EL148" s="42"/>
      <c r="EM148" s="42"/>
      <c r="EN148" s="42"/>
      <c r="EO148" s="42"/>
      <c r="EP148" s="43"/>
      <c r="EQ148" s="43"/>
      <c r="ER148" s="43"/>
      <c r="ES148" s="43"/>
      <c r="ET148" s="43"/>
      <c r="EU148" s="43"/>
      <c r="EV148" s="42"/>
      <c r="EW148" s="42"/>
      <c r="EX148" s="42"/>
      <c r="EY148" s="42"/>
      <c r="EZ148" s="42"/>
      <c r="FA148" s="42"/>
      <c r="FB148" s="42"/>
      <c r="FC148" s="42"/>
      <c r="FD148" s="43"/>
      <c r="FE148" s="43"/>
      <c r="FF148" s="43"/>
      <c r="FG148" s="43"/>
      <c r="FH148" s="43"/>
      <c r="FI148" s="43"/>
      <c r="FJ148" s="42"/>
      <c r="FK148" s="42"/>
      <c r="FL148" s="42"/>
      <c r="FM148" s="42"/>
      <c r="FN148" s="42"/>
      <c r="FO148" s="42"/>
      <c r="FP148" s="42"/>
      <c r="FQ148" s="42"/>
      <c r="FR148" s="43"/>
      <c r="FS148" s="43"/>
      <c r="FT148" s="43"/>
      <c r="FU148" s="43"/>
      <c r="FV148" s="43"/>
      <c r="FW148" s="43"/>
      <c r="FX148" s="42"/>
      <c r="FY148" s="42"/>
      <c r="FZ148" s="42"/>
      <c r="GA148" s="42"/>
      <c r="GB148" s="42"/>
      <c r="GC148" s="42"/>
      <c r="GD148" s="42"/>
      <c r="GE148" s="42"/>
      <c r="GF148" s="43"/>
      <c r="GG148" s="43"/>
      <c r="GH148" s="43"/>
      <c r="GI148" s="43"/>
      <c r="GJ148" s="43"/>
      <c r="GK148" s="43"/>
      <c r="GL148" s="42"/>
      <c r="GM148" s="42"/>
      <c r="GN148" s="42"/>
      <c r="GO148" s="42"/>
      <c r="GP148" s="42"/>
      <c r="GQ148" s="42"/>
      <c r="GR148" s="42"/>
      <c r="GS148" s="42"/>
      <c r="GT148" s="43"/>
      <c r="GU148" s="43"/>
      <c r="GV148" s="43"/>
      <c r="GW148" s="43"/>
      <c r="GX148" s="43"/>
      <c r="GY148" s="43"/>
      <c r="GZ148" s="42"/>
      <c r="HA148" s="42"/>
      <c r="HB148" s="42"/>
      <c r="HC148" s="42"/>
      <c r="HD148" s="42"/>
      <c r="HE148" s="42"/>
      <c r="HF148" s="42"/>
      <c r="HG148" s="42"/>
      <c r="HH148" s="43"/>
      <c r="HI148" s="43"/>
      <c r="HJ148" s="43"/>
      <c r="HK148" s="43"/>
      <c r="HL148" s="43"/>
      <c r="HM148" s="43"/>
      <c r="HN148" s="42"/>
      <c r="HO148" s="42"/>
      <c r="HP148" s="42"/>
      <c r="HQ148" s="42"/>
      <c r="HR148" s="42"/>
      <c r="HS148" s="42"/>
      <c r="HT148" s="42"/>
      <c r="HU148" s="42"/>
      <c r="HV148" s="43"/>
      <c r="HW148" s="43"/>
      <c r="HX148" s="43"/>
      <c r="HY148" s="43"/>
      <c r="HZ148" s="43"/>
      <c r="IA148" s="43"/>
      <c r="IB148" s="42"/>
      <c r="IC148" s="42"/>
      <c r="ID148" s="42"/>
      <c r="IE148" s="42"/>
      <c r="IF148" s="42"/>
      <c r="IG148" s="42"/>
      <c r="IH148" s="42"/>
      <c r="II148" s="42"/>
      <c r="IJ148" s="43"/>
      <c r="IK148" s="43"/>
      <c r="IL148" s="43"/>
      <c r="IM148" s="43"/>
      <c r="IN148" s="43"/>
      <c r="IO148" s="43"/>
      <c r="IP148" s="42"/>
      <c r="IQ148" s="42"/>
      <c r="IR148" s="42"/>
      <c r="IS148" s="42"/>
      <c r="IT148" s="42"/>
      <c r="IU148" s="42"/>
      <c r="IV148" s="42"/>
      <c r="IW148" s="42"/>
      <c r="IX148" s="43"/>
      <c r="IY148" s="43"/>
      <c r="IZ148" s="43"/>
      <c r="JA148" s="43"/>
      <c r="JB148" s="43"/>
      <c r="JC148" s="43"/>
      <c r="JD148" s="42"/>
      <c r="JE148" s="42"/>
      <c r="JF148" s="42"/>
      <c r="JG148" s="42"/>
      <c r="JH148" s="42"/>
      <c r="JI148" s="42"/>
      <c r="JJ148" s="42"/>
      <c r="JK148" s="42"/>
      <c r="JL148" s="43"/>
      <c r="JM148" s="43"/>
      <c r="JN148" s="43"/>
      <c r="JO148" s="43"/>
      <c r="JP148" s="43"/>
      <c r="JQ148" s="43"/>
      <c r="JR148" s="42"/>
      <c r="JS148" s="42"/>
      <c r="JT148" s="42"/>
      <c r="JU148" s="42"/>
      <c r="JV148" s="42"/>
      <c r="JW148" s="42"/>
      <c r="JX148" s="42"/>
      <c r="JY148" s="42"/>
      <c r="JZ148" s="43"/>
      <c r="KA148" s="43"/>
      <c r="KB148" s="43"/>
      <c r="KC148" s="43"/>
      <c r="KD148" s="43"/>
      <c r="KE148" s="43"/>
      <c r="KF148" s="42"/>
      <c r="KG148" s="42"/>
      <c r="KH148" s="42"/>
      <c r="KI148" s="42"/>
      <c r="KJ148" s="42"/>
      <c r="KK148" s="42"/>
      <c r="KL148" s="42"/>
      <c r="KM148" s="42"/>
      <c r="KN148" s="43"/>
      <c r="KO148" s="43"/>
      <c r="KP148" s="43"/>
      <c r="KQ148" s="43"/>
      <c r="KR148" s="43"/>
      <c r="KS148" s="43"/>
      <c r="KT148" s="42"/>
      <c r="KU148" s="42"/>
      <c r="KV148" s="42"/>
      <c r="KW148" s="42"/>
      <c r="KX148" s="42"/>
      <c r="KY148" s="42"/>
      <c r="KZ148" s="42"/>
      <c r="LA148" s="42"/>
      <c r="LB148" s="43"/>
      <c r="LC148" s="43"/>
      <c r="LD148" s="43"/>
      <c r="LE148" s="43"/>
      <c r="LF148" s="43"/>
      <c r="LG148" s="43"/>
      <c r="LH148" s="42"/>
      <c r="LI148" s="42"/>
      <c r="LJ148" s="42"/>
      <c r="LK148" s="42"/>
      <c r="LL148" s="42"/>
      <c r="LM148" s="42"/>
      <c r="LN148" s="42"/>
      <c r="LO148" s="42"/>
      <c r="LP148" s="43"/>
      <c r="LQ148" s="43"/>
      <c r="LR148" s="43"/>
      <c r="LS148" s="43"/>
      <c r="LT148" s="43"/>
      <c r="LU148" s="43"/>
      <c r="LV148" s="42"/>
      <c r="LW148" s="42"/>
      <c r="LX148" s="42"/>
      <c r="LY148" s="42"/>
      <c r="LZ148" s="42"/>
      <c r="MA148" s="42"/>
      <c r="MB148" s="42"/>
      <c r="MC148" s="42"/>
      <c r="MD148" s="43"/>
      <c r="ME148" s="43"/>
      <c r="MF148" s="43"/>
      <c r="MG148" s="43"/>
      <c r="MH148" s="43"/>
      <c r="MI148" s="43"/>
      <c r="MJ148" s="42"/>
      <c r="MK148" s="42"/>
      <c r="ML148" s="42"/>
      <c r="MM148" s="42"/>
      <c r="MN148" s="42"/>
      <c r="MO148" s="42"/>
      <c r="MP148" s="42"/>
      <c r="MQ148" s="42"/>
      <c r="MR148" s="43"/>
      <c r="MS148" s="43"/>
      <c r="MT148" s="43"/>
      <c r="MU148" s="43"/>
      <c r="MV148" s="43"/>
      <c r="MW148" s="43"/>
      <c r="MX148" s="42"/>
      <c r="MY148" s="42"/>
      <c r="MZ148" s="42"/>
      <c r="NA148" s="42"/>
      <c r="NB148" s="42"/>
      <c r="NC148" s="42"/>
      <c r="ND148" s="42"/>
      <c r="NE148" s="42"/>
      <c r="NF148" s="43"/>
      <c r="NG148" s="43"/>
      <c r="NH148" s="43"/>
      <c r="NI148" s="43"/>
      <c r="NJ148" s="43"/>
      <c r="NK148" s="43"/>
      <c r="NL148" s="42"/>
      <c r="NM148" s="42"/>
      <c r="NN148" s="42"/>
      <c r="NO148" s="42"/>
      <c r="NP148" s="42"/>
      <c r="NQ148" s="42"/>
      <c r="NR148" s="42"/>
      <c r="NS148" s="42"/>
      <c r="NT148" s="43"/>
      <c r="NU148" s="43"/>
      <c r="NV148" s="43"/>
      <c r="NW148" s="43"/>
      <c r="NX148" s="43"/>
      <c r="NY148" s="43"/>
      <c r="NZ148" s="42"/>
      <c r="OA148" s="42"/>
      <c r="OB148" s="42"/>
      <c r="OC148" s="42"/>
      <c r="OD148" s="42"/>
      <c r="OE148" s="42"/>
      <c r="OF148" s="42"/>
      <c r="OG148" s="42"/>
      <c r="OH148" s="43"/>
      <c r="OI148" s="43"/>
      <c r="OJ148" s="43"/>
      <c r="OK148" s="43"/>
      <c r="OL148" s="43"/>
      <c r="OM148" s="43"/>
      <c r="ON148" s="42"/>
      <c r="OO148" s="42"/>
      <c r="OP148" s="42"/>
      <c r="OQ148" s="42"/>
      <c r="OR148" s="42"/>
      <c r="OS148" s="42"/>
      <c r="OT148" s="42"/>
      <c r="OU148" s="42"/>
      <c r="OV148" s="43"/>
      <c r="OW148" s="43"/>
      <c r="OX148" s="43"/>
      <c r="OY148" s="43"/>
      <c r="OZ148" s="43"/>
      <c r="PA148" s="43"/>
      <c r="PB148" s="42"/>
      <c r="PC148" s="42"/>
      <c r="PD148" s="42"/>
      <c r="PE148" s="42"/>
      <c r="PF148" s="42"/>
      <c r="PG148" s="42"/>
      <c r="PH148" s="42"/>
      <c r="PI148" s="42"/>
      <c r="PJ148" s="43"/>
      <c r="PK148" s="43"/>
      <c r="PL148" s="43"/>
      <c r="PM148" s="43"/>
      <c r="PN148" s="43"/>
      <c r="PO148" s="43"/>
      <c r="PP148" s="42"/>
      <c r="PQ148" s="42"/>
      <c r="PR148" s="42"/>
      <c r="PS148" s="42"/>
      <c r="PT148" s="42"/>
      <c r="PU148" s="42"/>
      <c r="PV148" s="42"/>
      <c r="PW148" s="42"/>
      <c r="PX148" s="43"/>
      <c r="PY148" s="43"/>
      <c r="PZ148" s="43"/>
      <c r="QA148" s="43"/>
      <c r="QB148" s="43"/>
      <c r="QC148" s="43"/>
      <c r="QD148" s="42"/>
      <c r="QE148" s="42"/>
      <c r="QF148" s="42"/>
      <c r="QG148" s="42"/>
      <c r="QH148" s="42"/>
      <c r="QI148" s="42"/>
      <c r="QJ148" s="42"/>
      <c r="QK148" s="42"/>
      <c r="QL148" s="43"/>
      <c r="QM148" s="43"/>
      <c r="QN148" s="43"/>
      <c r="QO148" s="43"/>
      <c r="QP148" s="43"/>
      <c r="QQ148" s="43"/>
      <c r="QR148" s="42"/>
      <c r="QS148" s="42"/>
      <c r="QT148" s="42"/>
      <c r="QU148" s="42"/>
      <c r="QV148" s="42"/>
      <c r="QW148" s="42"/>
      <c r="QX148" s="42"/>
      <c r="QY148" s="42"/>
      <c r="QZ148" s="43"/>
      <c r="RA148" s="43"/>
      <c r="RB148" s="43"/>
      <c r="RC148" s="43"/>
      <c r="RD148" s="43"/>
      <c r="RE148" s="43"/>
      <c r="RF148" s="42"/>
      <c r="RG148" s="42"/>
      <c r="RH148" s="42"/>
      <c r="RI148" s="42"/>
      <c r="RJ148" s="42"/>
      <c r="RK148" s="42"/>
      <c r="RL148" s="42"/>
      <c r="RM148" s="42"/>
      <c r="RN148" s="43"/>
      <c r="RO148" s="43"/>
      <c r="RP148" s="43"/>
      <c r="RQ148" s="43"/>
      <c r="RR148" s="43"/>
      <c r="RS148" s="43"/>
      <c r="RT148" s="42"/>
      <c r="RU148" s="42"/>
      <c r="RV148" s="42"/>
      <c r="RW148" s="42"/>
      <c r="RX148" s="42"/>
      <c r="RY148" s="42"/>
      <c r="RZ148" s="42"/>
    </row>
    <row r="149" spans="1:494" ht="98.25" customHeight="1" x14ac:dyDescent="0.25">
      <c r="A149" s="60" t="s">
        <v>48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42"/>
      <c r="M149" s="42"/>
      <c r="N149" s="42"/>
      <c r="O149" s="42"/>
      <c r="P149" s="42"/>
      <c r="Q149" s="42"/>
      <c r="R149" s="42"/>
      <c r="S149" s="42"/>
      <c r="T149" s="43"/>
      <c r="U149" s="43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  <c r="AI149" s="43"/>
      <c r="AJ149" s="43"/>
      <c r="AK149" s="43"/>
      <c r="AL149" s="43"/>
      <c r="AM149" s="43"/>
      <c r="AN149" s="42"/>
      <c r="AO149" s="42"/>
      <c r="AP149" s="42"/>
      <c r="AQ149" s="42"/>
      <c r="AR149" s="42"/>
      <c r="AS149" s="42"/>
      <c r="AT149" s="42"/>
      <c r="AU149" s="42"/>
      <c r="AV149" s="43"/>
      <c r="AW149" s="43"/>
      <c r="AX149" s="43"/>
      <c r="AY149" s="43"/>
      <c r="AZ149" s="43"/>
      <c r="BA149" s="43"/>
      <c r="BB149" s="42"/>
      <c r="BC149" s="42"/>
      <c r="BD149" s="42"/>
      <c r="BE149" s="42"/>
      <c r="BF149" s="42"/>
      <c r="BG149" s="42"/>
      <c r="BH149" s="42"/>
      <c r="BI149" s="42"/>
      <c r="BJ149" s="43"/>
      <c r="BK149" s="43"/>
      <c r="BL149" s="43"/>
      <c r="BM149" s="43"/>
      <c r="BN149" s="43"/>
      <c r="BO149" s="43"/>
      <c r="BP149" s="42"/>
      <c r="BQ149" s="42"/>
      <c r="BR149" s="42"/>
      <c r="BS149" s="42"/>
      <c r="BT149" s="42"/>
      <c r="BU149" s="42"/>
      <c r="BV149" s="42"/>
      <c r="BW149" s="42"/>
      <c r="BX149" s="43"/>
      <c r="BY149" s="43"/>
      <c r="BZ149" s="43"/>
      <c r="CA149" s="43"/>
      <c r="CB149" s="43"/>
      <c r="CC149" s="43"/>
      <c r="CD149" s="42"/>
      <c r="CE149" s="42"/>
      <c r="CF149" s="42"/>
      <c r="CG149" s="42"/>
      <c r="CH149" s="42"/>
      <c r="CI149" s="42"/>
      <c r="CJ149" s="42"/>
      <c r="CK149" s="42"/>
      <c r="CL149" s="43"/>
      <c r="CM149" s="43"/>
      <c r="CN149" s="43"/>
      <c r="CO149" s="43"/>
      <c r="CP149" s="43"/>
      <c r="CQ149" s="43"/>
      <c r="CR149" s="42"/>
      <c r="CS149" s="42"/>
      <c r="CT149" s="42"/>
      <c r="CU149" s="42"/>
      <c r="CV149" s="42"/>
      <c r="CW149" s="42"/>
      <c r="CX149" s="42"/>
      <c r="CY149" s="42"/>
      <c r="CZ149" s="43"/>
      <c r="DA149" s="43"/>
      <c r="DB149" s="43"/>
      <c r="DC149" s="43"/>
      <c r="DD149" s="43"/>
      <c r="DE149" s="43"/>
      <c r="DF149" s="42"/>
      <c r="DG149" s="42"/>
      <c r="DH149" s="42"/>
      <c r="DI149" s="42"/>
      <c r="DJ149" s="42"/>
      <c r="DK149" s="42"/>
      <c r="DL149" s="42"/>
      <c r="DM149" s="42"/>
      <c r="DN149" s="43"/>
      <c r="DO149" s="43"/>
      <c r="DP149" s="43"/>
      <c r="DQ149" s="43"/>
      <c r="DR149" s="43"/>
      <c r="DS149" s="43"/>
      <c r="DT149" s="42"/>
      <c r="DU149" s="42"/>
      <c r="DV149" s="42"/>
      <c r="DW149" s="42"/>
      <c r="DX149" s="42"/>
      <c r="DY149" s="42"/>
      <c r="DZ149" s="42"/>
      <c r="EA149" s="42"/>
      <c r="EB149" s="43"/>
      <c r="EC149" s="43"/>
      <c r="ED149" s="43"/>
      <c r="EE149" s="43"/>
      <c r="EF149" s="43"/>
      <c r="EG149" s="43"/>
      <c r="EH149" s="42"/>
      <c r="EI149" s="42"/>
      <c r="EJ149" s="42"/>
      <c r="EK149" s="42"/>
      <c r="EL149" s="42"/>
      <c r="EM149" s="42"/>
      <c r="EN149" s="42"/>
      <c r="EO149" s="42"/>
      <c r="EP149" s="43"/>
      <c r="EQ149" s="43"/>
      <c r="ER149" s="43"/>
      <c r="ES149" s="43"/>
      <c r="ET149" s="43"/>
      <c r="EU149" s="43"/>
      <c r="EV149" s="42"/>
      <c r="EW149" s="42"/>
      <c r="EX149" s="42"/>
      <c r="EY149" s="42"/>
      <c r="EZ149" s="42"/>
      <c r="FA149" s="42"/>
      <c r="FB149" s="42"/>
      <c r="FC149" s="42"/>
      <c r="FD149" s="43"/>
      <c r="FE149" s="43"/>
      <c r="FF149" s="43"/>
      <c r="FG149" s="43"/>
      <c r="FH149" s="43"/>
      <c r="FI149" s="43"/>
      <c r="FJ149" s="42"/>
      <c r="FK149" s="42"/>
      <c r="FL149" s="42"/>
      <c r="FM149" s="42"/>
      <c r="FN149" s="42"/>
      <c r="FO149" s="42"/>
      <c r="FP149" s="42"/>
      <c r="FQ149" s="42"/>
      <c r="FR149" s="43"/>
      <c r="FS149" s="43"/>
      <c r="FT149" s="43"/>
      <c r="FU149" s="43"/>
      <c r="FV149" s="43"/>
      <c r="FW149" s="43"/>
      <c r="FX149" s="42"/>
      <c r="FY149" s="42"/>
      <c r="FZ149" s="42"/>
      <c r="GA149" s="42"/>
      <c r="GB149" s="42"/>
      <c r="GC149" s="42"/>
      <c r="GD149" s="42"/>
      <c r="GE149" s="42"/>
      <c r="GF149" s="43"/>
      <c r="GG149" s="43"/>
      <c r="GH149" s="43"/>
      <c r="GI149" s="43"/>
      <c r="GJ149" s="43"/>
      <c r="GK149" s="43"/>
      <c r="GL149" s="42"/>
      <c r="GM149" s="42"/>
      <c r="GN149" s="42"/>
      <c r="GO149" s="42"/>
      <c r="GP149" s="42"/>
      <c r="GQ149" s="42"/>
      <c r="GR149" s="42"/>
      <c r="GS149" s="42"/>
      <c r="GT149" s="43"/>
      <c r="GU149" s="43"/>
      <c r="GV149" s="43"/>
      <c r="GW149" s="43"/>
      <c r="GX149" s="43"/>
      <c r="GY149" s="43"/>
      <c r="GZ149" s="42"/>
      <c r="HA149" s="42"/>
      <c r="HB149" s="42"/>
      <c r="HC149" s="42"/>
      <c r="HD149" s="42"/>
      <c r="HE149" s="42"/>
      <c r="HF149" s="42"/>
      <c r="HG149" s="42"/>
      <c r="HH149" s="43"/>
      <c r="HI149" s="43"/>
      <c r="HJ149" s="43"/>
      <c r="HK149" s="43"/>
      <c r="HL149" s="43"/>
      <c r="HM149" s="43"/>
      <c r="HN149" s="42"/>
      <c r="HO149" s="42"/>
      <c r="HP149" s="42"/>
      <c r="HQ149" s="42"/>
      <c r="HR149" s="42"/>
      <c r="HS149" s="42"/>
      <c r="HT149" s="42"/>
      <c r="HU149" s="42"/>
      <c r="HV149" s="43"/>
      <c r="HW149" s="43"/>
      <c r="HX149" s="43"/>
      <c r="HY149" s="43"/>
      <c r="HZ149" s="43"/>
      <c r="IA149" s="43"/>
      <c r="IB149" s="42"/>
      <c r="IC149" s="42"/>
      <c r="ID149" s="42"/>
      <c r="IE149" s="42"/>
      <c r="IF149" s="42"/>
      <c r="IG149" s="42"/>
      <c r="IH149" s="42"/>
      <c r="II149" s="42"/>
      <c r="IJ149" s="43"/>
      <c r="IK149" s="43"/>
      <c r="IL149" s="43"/>
      <c r="IM149" s="43"/>
      <c r="IN149" s="43"/>
      <c r="IO149" s="43"/>
      <c r="IP149" s="42"/>
      <c r="IQ149" s="42"/>
      <c r="IR149" s="42"/>
      <c r="IS149" s="42"/>
      <c r="IT149" s="42"/>
      <c r="IU149" s="42"/>
      <c r="IV149" s="42"/>
      <c r="IW149" s="42"/>
      <c r="IX149" s="43"/>
      <c r="IY149" s="43"/>
      <c r="IZ149" s="43"/>
      <c r="JA149" s="43"/>
      <c r="JB149" s="43"/>
      <c r="JC149" s="43"/>
      <c r="JD149" s="42"/>
      <c r="JE149" s="42"/>
      <c r="JF149" s="42"/>
      <c r="JG149" s="42"/>
      <c r="JH149" s="42"/>
      <c r="JI149" s="42"/>
      <c r="JJ149" s="42"/>
      <c r="JK149" s="42"/>
      <c r="JL149" s="43"/>
      <c r="JM149" s="43"/>
      <c r="JN149" s="43"/>
      <c r="JO149" s="43"/>
      <c r="JP149" s="43"/>
      <c r="JQ149" s="43"/>
      <c r="JR149" s="42"/>
      <c r="JS149" s="42"/>
      <c r="JT149" s="42"/>
      <c r="JU149" s="42"/>
      <c r="JV149" s="42"/>
      <c r="JW149" s="42"/>
      <c r="JX149" s="42"/>
      <c r="JY149" s="42"/>
      <c r="JZ149" s="43"/>
      <c r="KA149" s="43"/>
      <c r="KB149" s="43"/>
      <c r="KC149" s="43"/>
      <c r="KD149" s="43"/>
      <c r="KE149" s="43"/>
      <c r="KF149" s="42"/>
      <c r="KG149" s="42"/>
      <c r="KH149" s="42"/>
      <c r="KI149" s="42"/>
      <c r="KJ149" s="42"/>
      <c r="KK149" s="42"/>
      <c r="KL149" s="42"/>
      <c r="KM149" s="42"/>
      <c r="KN149" s="43"/>
      <c r="KO149" s="43"/>
      <c r="KP149" s="43"/>
      <c r="KQ149" s="43"/>
      <c r="KR149" s="43"/>
      <c r="KS149" s="43"/>
      <c r="KT149" s="42"/>
      <c r="KU149" s="42"/>
      <c r="KV149" s="42"/>
      <c r="KW149" s="42"/>
      <c r="KX149" s="42"/>
      <c r="KY149" s="42"/>
      <c r="KZ149" s="42"/>
      <c r="LA149" s="42"/>
      <c r="LB149" s="43"/>
      <c r="LC149" s="43"/>
      <c r="LD149" s="43"/>
      <c r="LE149" s="43"/>
      <c r="LF149" s="43"/>
      <c r="LG149" s="43"/>
      <c r="LH149" s="42"/>
      <c r="LI149" s="42"/>
      <c r="LJ149" s="42"/>
      <c r="LK149" s="42"/>
      <c r="LL149" s="42"/>
      <c r="LM149" s="42"/>
      <c r="LN149" s="42"/>
      <c r="LO149" s="42"/>
      <c r="LP149" s="43"/>
      <c r="LQ149" s="43"/>
      <c r="LR149" s="43"/>
      <c r="LS149" s="43"/>
      <c r="LT149" s="43"/>
      <c r="LU149" s="43"/>
      <c r="LV149" s="42"/>
      <c r="LW149" s="42"/>
      <c r="LX149" s="42"/>
      <c r="LY149" s="42"/>
      <c r="LZ149" s="42"/>
      <c r="MA149" s="42"/>
      <c r="MB149" s="42"/>
      <c r="MC149" s="42"/>
      <c r="MD149" s="43"/>
      <c r="ME149" s="43"/>
      <c r="MF149" s="43"/>
      <c r="MG149" s="43"/>
      <c r="MH149" s="43"/>
      <c r="MI149" s="43"/>
      <c r="MJ149" s="42"/>
      <c r="MK149" s="42"/>
      <c r="ML149" s="42"/>
      <c r="MM149" s="42"/>
      <c r="MN149" s="42"/>
      <c r="MO149" s="42"/>
      <c r="MP149" s="42"/>
      <c r="MQ149" s="42"/>
      <c r="MR149" s="43"/>
      <c r="MS149" s="43"/>
      <c r="MT149" s="43"/>
      <c r="MU149" s="43"/>
      <c r="MV149" s="43"/>
      <c r="MW149" s="43"/>
      <c r="MX149" s="42"/>
      <c r="MY149" s="42"/>
      <c r="MZ149" s="42"/>
      <c r="NA149" s="42"/>
      <c r="NB149" s="42"/>
      <c r="NC149" s="42"/>
      <c r="ND149" s="42"/>
      <c r="NE149" s="42"/>
      <c r="NF149" s="43"/>
      <c r="NG149" s="43"/>
      <c r="NH149" s="43"/>
      <c r="NI149" s="43"/>
      <c r="NJ149" s="43"/>
      <c r="NK149" s="43"/>
      <c r="NL149" s="42"/>
      <c r="NM149" s="42"/>
      <c r="NN149" s="42"/>
      <c r="NO149" s="42"/>
      <c r="NP149" s="42"/>
      <c r="NQ149" s="42"/>
      <c r="NR149" s="42"/>
      <c r="NS149" s="42"/>
      <c r="NT149" s="43"/>
      <c r="NU149" s="43"/>
      <c r="NV149" s="43"/>
      <c r="NW149" s="43"/>
      <c r="NX149" s="43"/>
      <c r="NY149" s="43"/>
      <c r="NZ149" s="42"/>
      <c r="OA149" s="42"/>
      <c r="OB149" s="42"/>
      <c r="OC149" s="42"/>
      <c r="OD149" s="42"/>
      <c r="OE149" s="42"/>
      <c r="OF149" s="42"/>
      <c r="OG149" s="42"/>
      <c r="OH149" s="43"/>
      <c r="OI149" s="43"/>
      <c r="OJ149" s="43"/>
      <c r="OK149" s="43"/>
      <c r="OL149" s="43"/>
      <c r="OM149" s="43"/>
      <c r="ON149" s="42"/>
      <c r="OO149" s="42"/>
      <c r="OP149" s="42"/>
      <c r="OQ149" s="42"/>
      <c r="OR149" s="42"/>
      <c r="OS149" s="42"/>
      <c r="OT149" s="42"/>
      <c r="OU149" s="42"/>
      <c r="OV149" s="43"/>
      <c r="OW149" s="43"/>
      <c r="OX149" s="43"/>
      <c r="OY149" s="43"/>
      <c r="OZ149" s="43"/>
      <c r="PA149" s="43"/>
      <c r="PB149" s="42"/>
      <c r="PC149" s="42"/>
      <c r="PD149" s="42"/>
      <c r="PE149" s="42"/>
      <c r="PF149" s="42"/>
      <c r="PG149" s="42"/>
      <c r="PH149" s="42"/>
      <c r="PI149" s="42"/>
      <c r="PJ149" s="43"/>
      <c r="PK149" s="43"/>
      <c r="PL149" s="43"/>
      <c r="PM149" s="43"/>
      <c r="PN149" s="43"/>
      <c r="PO149" s="43"/>
      <c r="PP149" s="42"/>
      <c r="PQ149" s="42"/>
      <c r="PR149" s="42"/>
      <c r="PS149" s="42"/>
      <c r="PT149" s="42"/>
      <c r="PU149" s="42"/>
      <c r="PV149" s="42"/>
      <c r="PW149" s="42"/>
      <c r="PX149" s="43"/>
      <c r="PY149" s="43"/>
      <c r="PZ149" s="43"/>
      <c r="QA149" s="43"/>
      <c r="QB149" s="43"/>
      <c r="QC149" s="43"/>
      <c r="QD149" s="42"/>
      <c r="QE149" s="42"/>
      <c r="QF149" s="42"/>
      <c r="QG149" s="42"/>
      <c r="QH149" s="42"/>
      <c r="QI149" s="42"/>
      <c r="QJ149" s="42"/>
      <c r="QK149" s="42"/>
      <c r="QL149" s="43"/>
      <c r="QM149" s="43"/>
      <c r="QN149" s="43"/>
      <c r="QO149" s="43"/>
      <c r="QP149" s="43"/>
      <c r="QQ149" s="43"/>
      <c r="QR149" s="42"/>
      <c r="QS149" s="42"/>
      <c r="QT149" s="42"/>
      <c r="QU149" s="42"/>
      <c r="QV149" s="42"/>
      <c r="QW149" s="42"/>
      <c r="QX149" s="42"/>
      <c r="QY149" s="42"/>
      <c r="QZ149" s="43"/>
      <c r="RA149" s="43"/>
      <c r="RB149" s="43"/>
      <c r="RC149" s="43"/>
      <c r="RD149" s="43"/>
      <c r="RE149" s="43"/>
      <c r="RF149" s="42"/>
      <c r="RG149" s="42"/>
      <c r="RH149" s="42"/>
      <c r="RI149" s="42"/>
      <c r="RJ149" s="42"/>
      <c r="RK149" s="42"/>
      <c r="RL149" s="42"/>
      <c r="RM149" s="42"/>
      <c r="RN149" s="43"/>
      <c r="RO149" s="43"/>
      <c r="RP149" s="43"/>
      <c r="RQ149" s="43"/>
      <c r="RR149" s="43"/>
      <c r="RS149" s="43"/>
      <c r="RT149" s="42"/>
      <c r="RU149" s="42"/>
      <c r="RV149" s="42"/>
      <c r="RW149" s="42"/>
      <c r="RX149" s="42"/>
      <c r="RY149" s="42"/>
      <c r="RZ149" s="42"/>
    </row>
    <row r="150" spans="1:494" ht="98.25" customHeight="1" x14ac:dyDescent="0.25">
      <c r="A150" s="45"/>
      <c r="B150" s="12"/>
      <c r="C150" s="12"/>
      <c r="D150" s="42"/>
      <c r="E150" s="42"/>
      <c r="F150" s="42"/>
      <c r="G150" s="42"/>
      <c r="H150" s="42"/>
      <c r="I150" s="42"/>
      <c r="J150" s="42"/>
      <c r="K150" s="7"/>
      <c r="L150" s="7"/>
      <c r="M150" s="42"/>
      <c r="N150" s="42"/>
      <c r="O150" s="42"/>
      <c r="P150" s="42"/>
      <c r="Q150" s="42"/>
      <c r="R150" s="42"/>
      <c r="S150" s="42"/>
      <c r="T150" s="43"/>
      <c r="U150" s="43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  <c r="AI150" s="43"/>
      <c r="AJ150" s="43"/>
      <c r="AK150" s="43"/>
      <c r="AL150" s="43"/>
      <c r="AM150" s="43"/>
      <c r="AN150" s="42"/>
      <c r="AO150" s="42"/>
      <c r="AP150" s="42"/>
      <c r="AQ150" s="42"/>
      <c r="AR150" s="42"/>
      <c r="AS150" s="42"/>
      <c r="AT150" s="42"/>
      <c r="AU150" s="42"/>
      <c r="AV150" s="43"/>
      <c r="AW150" s="43"/>
      <c r="AX150" s="43"/>
      <c r="AY150" s="43"/>
      <c r="AZ150" s="43"/>
      <c r="BA150" s="43"/>
      <c r="BB150" s="42"/>
      <c r="BC150" s="42"/>
      <c r="BD150" s="42"/>
      <c r="BE150" s="42"/>
      <c r="BF150" s="42"/>
      <c r="BG150" s="42"/>
      <c r="BH150" s="42"/>
      <c r="BI150" s="42"/>
      <c r="BJ150" s="43"/>
      <c r="BK150" s="43"/>
      <c r="BL150" s="43"/>
      <c r="BM150" s="43"/>
      <c r="BN150" s="43"/>
      <c r="BO150" s="43"/>
      <c r="BP150" s="42"/>
      <c r="BQ150" s="42"/>
      <c r="BR150" s="42"/>
      <c r="BS150" s="42"/>
      <c r="BT150" s="42"/>
      <c r="BU150" s="42"/>
      <c r="BV150" s="42"/>
      <c r="BW150" s="42"/>
      <c r="BX150" s="43"/>
      <c r="BY150" s="43"/>
      <c r="BZ150" s="43"/>
      <c r="CA150" s="43"/>
      <c r="CB150" s="43"/>
      <c r="CC150" s="43"/>
      <c r="CD150" s="42"/>
      <c r="CE150" s="42"/>
      <c r="CF150" s="42"/>
      <c r="CG150" s="42"/>
      <c r="CH150" s="42"/>
      <c r="CI150" s="42"/>
      <c r="CJ150" s="42"/>
      <c r="CK150" s="42"/>
      <c r="CL150" s="43"/>
      <c r="CM150" s="43"/>
      <c r="CN150" s="43"/>
      <c r="CO150" s="43"/>
      <c r="CP150" s="43"/>
      <c r="CQ150" s="43"/>
      <c r="CR150" s="42"/>
      <c r="CS150" s="42"/>
      <c r="CT150" s="42"/>
      <c r="CU150" s="42"/>
      <c r="CV150" s="42"/>
      <c r="CW150" s="42"/>
      <c r="CX150" s="42"/>
      <c r="CY150" s="42"/>
      <c r="CZ150" s="43"/>
      <c r="DA150" s="43"/>
      <c r="DB150" s="43"/>
      <c r="DC150" s="43"/>
      <c r="DD150" s="43"/>
      <c r="DE150" s="43"/>
      <c r="DF150" s="42"/>
      <c r="DG150" s="42"/>
      <c r="DH150" s="42"/>
      <c r="DI150" s="42"/>
      <c r="DJ150" s="42"/>
      <c r="DK150" s="42"/>
      <c r="DL150" s="42"/>
      <c r="DM150" s="42"/>
      <c r="DN150" s="43"/>
      <c r="DO150" s="43"/>
      <c r="DP150" s="43"/>
      <c r="DQ150" s="43"/>
      <c r="DR150" s="43"/>
      <c r="DS150" s="43"/>
      <c r="DT150" s="42"/>
      <c r="DU150" s="42"/>
      <c r="DV150" s="42"/>
      <c r="DW150" s="42"/>
      <c r="DX150" s="42"/>
      <c r="DY150" s="42"/>
      <c r="DZ150" s="42"/>
      <c r="EA150" s="42"/>
      <c r="EB150" s="43"/>
      <c r="EC150" s="43"/>
      <c r="ED150" s="43"/>
      <c r="EE150" s="43"/>
      <c r="EF150" s="43"/>
      <c r="EG150" s="43"/>
      <c r="EH150" s="42"/>
      <c r="EI150" s="42"/>
      <c r="EJ150" s="42"/>
      <c r="EK150" s="42"/>
      <c r="EL150" s="42"/>
      <c r="EM150" s="42"/>
      <c r="EN150" s="42"/>
      <c r="EO150" s="42"/>
      <c r="EP150" s="43"/>
      <c r="EQ150" s="43"/>
      <c r="ER150" s="43"/>
      <c r="ES150" s="43"/>
      <c r="ET150" s="43"/>
      <c r="EU150" s="43"/>
      <c r="EV150" s="42"/>
      <c r="EW150" s="42"/>
      <c r="EX150" s="42"/>
      <c r="EY150" s="42"/>
      <c r="EZ150" s="42"/>
      <c r="FA150" s="42"/>
      <c r="FB150" s="42"/>
      <c r="FC150" s="42"/>
      <c r="FD150" s="43"/>
      <c r="FE150" s="43"/>
      <c r="FF150" s="43"/>
      <c r="FG150" s="43"/>
      <c r="FH150" s="43"/>
      <c r="FI150" s="43"/>
      <c r="FJ150" s="42"/>
      <c r="FK150" s="42"/>
      <c r="FL150" s="42"/>
      <c r="FM150" s="42"/>
      <c r="FN150" s="42"/>
      <c r="FO150" s="42"/>
      <c r="FP150" s="42"/>
      <c r="FQ150" s="42"/>
      <c r="FR150" s="43"/>
      <c r="FS150" s="43"/>
      <c r="FT150" s="43"/>
      <c r="FU150" s="43"/>
      <c r="FV150" s="43"/>
      <c r="FW150" s="43"/>
      <c r="FX150" s="42"/>
      <c r="FY150" s="42"/>
      <c r="FZ150" s="42"/>
      <c r="GA150" s="42"/>
      <c r="GB150" s="42"/>
      <c r="GC150" s="42"/>
      <c r="GD150" s="42"/>
      <c r="GE150" s="42"/>
      <c r="GF150" s="43"/>
      <c r="GG150" s="43"/>
      <c r="GH150" s="43"/>
      <c r="GI150" s="43"/>
      <c r="GJ150" s="43"/>
      <c r="GK150" s="43"/>
      <c r="GL150" s="42"/>
      <c r="GM150" s="42"/>
      <c r="GN150" s="42"/>
      <c r="GO150" s="42"/>
      <c r="GP150" s="42"/>
      <c r="GQ150" s="42"/>
      <c r="GR150" s="42"/>
      <c r="GS150" s="42"/>
      <c r="GT150" s="43"/>
      <c r="GU150" s="43"/>
      <c r="GV150" s="43"/>
      <c r="GW150" s="43"/>
      <c r="GX150" s="43"/>
      <c r="GY150" s="43"/>
      <c r="GZ150" s="42"/>
      <c r="HA150" s="42"/>
      <c r="HB150" s="42"/>
      <c r="HC150" s="42"/>
      <c r="HD150" s="42"/>
      <c r="HE150" s="42"/>
      <c r="HF150" s="42"/>
      <c r="HG150" s="42"/>
      <c r="HH150" s="43"/>
      <c r="HI150" s="43"/>
      <c r="HJ150" s="43"/>
      <c r="HK150" s="43"/>
      <c r="HL150" s="43"/>
      <c r="HM150" s="43"/>
      <c r="HN150" s="42"/>
      <c r="HO150" s="42"/>
      <c r="HP150" s="42"/>
      <c r="HQ150" s="42"/>
      <c r="HR150" s="42"/>
      <c r="HS150" s="42"/>
      <c r="HT150" s="42"/>
      <c r="HU150" s="42"/>
      <c r="HV150" s="43"/>
      <c r="HW150" s="43"/>
      <c r="HX150" s="43"/>
      <c r="HY150" s="43"/>
      <c r="HZ150" s="43"/>
      <c r="IA150" s="43"/>
      <c r="IB150" s="42"/>
      <c r="IC150" s="42"/>
      <c r="ID150" s="42"/>
      <c r="IE150" s="42"/>
      <c r="IF150" s="42"/>
      <c r="IG150" s="42"/>
      <c r="IH150" s="42"/>
      <c r="II150" s="42"/>
      <c r="IJ150" s="43"/>
      <c r="IK150" s="43"/>
      <c r="IL150" s="43"/>
      <c r="IM150" s="43"/>
      <c r="IN150" s="43"/>
      <c r="IO150" s="43"/>
      <c r="IP150" s="42"/>
      <c r="IQ150" s="42"/>
      <c r="IR150" s="42"/>
      <c r="IS150" s="42"/>
      <c r="IT150" s="42"/>
      <c r="IU150" s="42"/>
      <c r="IV150" s="42"/>
      <c r="IW150" s="42"/>
      <c r="IX150" s="43"/>
      <c r="IY150" s="43"/>
      <c r="IZ150" s="43"/>
      <c r="JA150" s="43"/>
      <c r="JB150" s="43"/>
      <c r="JC150" s="43"/>
      <c r="JD150" s="42"/>
      <c r="JE150" s="42"/>
      <c r="JF150" s="42"/>
      <c r="JG150" s="42"/>
      <c r="JH150" s="42"/>
      <c r="JI150" s="42"/>
      <c r="JJ150" s="42"/>
      <c r="JK150" s="42"/>
      <c r="JL150" s="43"/>
      <c r="JM150" s="43"/>
      <c r="JN150" s="43"/>
      <c r="JO150" s="43"/>
      <c r="JP150" s="43"/>
      <c r="JQ150" s="43"/>
      <c r="JR150" s="42"/>
      <c r="JS150" s="42"/>
      <c r="JT150" s="42"/>
      <c r="JU150" s="42"/>
      <c r="JV150" s="42"/>
      <c r="JW150" s="42"/>
      <c r="JX150" s="42"/>
      <c r="JY150" s="42"/>
      <c r="JZ150" s="43"/>
      <c r="KA150" s="43"/>
      <c r="KB150" s="43"/>
      <c r="KC150" s="43"/>
      <c r="KD150" s="43"/>
      <c r="KE150" s="43"/>
      <c r="KF150" s="42"/>
      <c r="KG150" s="42"/>
      <c r="KH150" s="42"/>
      <c r="KI150" s="42"/>
      <c r="KJ150" s="42"/>
      <c r="KK150" s="42"/>
      <c r="KL150" s="42"/>
      <c r="KM150" s="42"/>
      <c r="KN150" s="43"/>
      <c r="KO150" s="43"/>
      <c r="KP150" s="43"/>
      <c r="KQ150" s="43"/>
      <c r="KR150" s="43"/>
      <c r="KS150" s="43"/>
      <c r="KT150" s="42"/>
      <c r="KU150" s="42"/>
      <c r="KV150" s="42"/>
      <c r="KW150" s="42"/>
      <c r="KX150" s="42"/>
      <c r="KY150" s="42"/>
      <c r="KZ150" s="42"/>
      <c r="LA150" s="42"/>
      <c r="LB150" s="43"/>
      <c r="LC150" s="43"/>
      <c r="LD150" s="43"/>
      <c r="LE150" s="43"/>
      <c r="LF150" s="43"/>
      <c r="LG150" s="43"/>
      <c r="LH150" s="42"/>
      <c r="LI150" s="42"/>
      <c r="LJ150" s="42"/>
      <c r="LK150" s="42"/>
      <c r="LL150" s="42"/>
      <c r="LM150" s="42"/>
      <c r="LN150" s="42"/>
      <c r="LO150" s="42"/>
      <c r="LP150" s="43"/>
      <c r="LQ150" s="43"/>
      <c r="LR150" s="43"/>
      <c r="LS150" s="43"/>
      <c r="LT150" s="43"/>
      <c r="LU150" s="43"/>
      <c r="LV150" s="42"/>
      <c r="LW150" s="42"/>
      <c r="LX150" s="42"/>
      <c r="LY150" s="42"/>
      <c r="LZ150" s="42"/>
      <c r="MA150" s="42"/>
      <c r="MB150" s="42"/>
      <c r="MC150" s="42"/>
      <c r="MD150" s="43"/>
      <c r="ME150" s="43"/>
      <c r="MF150" s="43"/>
      <c r="MG150" s="43"/>
      <c r="MH150" s="43"/>
      <c r="MI150" s="43"/>
      <c r="MJ150" s="42"/>
      <c r="MK150" s="42"/>
      <c r="ML150" s="42"/>
      <c r="MM150" s="42"/>
      <c r="MN150" s="42"/>
      <c r="MO150" s="42"/>
      <c r="MP150" s="42"/>
      <c r="MQ150" s="42"/>
      <c r="MR150" s="43"/>
      <c r="MS150" s="43"/>
      <c r="MT150" s="43"/>
      <c r="MU150" s="43"/>
      <c r="MV150" s="43"/>
      <c r="MW150" s="43"/>
      <c r="MX150" s="42"/>
      <c r="MY150" s="42"/>
      <c r="MZ150" s="42"/>
      <c r="NA150" s="42"/>
      <c r="NB150" s="42"/>
      <c r="NC150" s="42"/>
      <c r="ND150" s="42"/>
      <c r="NE150" s="42"/>
      <c r="NF150" s="43"/>
      <c r="NG150" s="43"/>
      <c r="NH150" s="43"/>
      <c r="NI150" s="43"/>
      <c r="NJ150" s="43"/>
      <c r="NK150" s="43"/>
      <c r="NL150" s="42"/>
      <c r="NM150" s="42"/>
      <c r="NN150" s="42"/>
      <c r="NO150" s="42"/>
      <c r="NP150" s="42"/>
      <c r="NQ150" s="42"/>
      <c r="NR150" s="42"/>
      <c r="NS150" s="42"/>
      <c r="NT150" s="43"/>
      <c r="NU150" s="43"/>
      <c r="NV150" s="43"/>
      <c r="NW150" s="43"/>
      <c r="NX150" s="43"/>
      <c r="NY150" s="43"/>
      <c r="NZ150" s="42"/>
      <c r="OA150" s="42"/>
      <c r="OB150" s="42"/>
      <c r="OC150" s="42"/>
      <c r="OD150" s="42"/>
      <c r="OE150" s="42"/>
      <c r="OF150" s="42"/>
      <c r="OG150" s="42"/>
      <c r="OH150" s="43"/>
      <c r="OI150" s="43"/>
      <c r="OJ150" s="43"/>
      <c r="OK150" s="43"/>
      <c r="OL150" s="43"/>
      <c r="OM150" s="43"/>
      <c r="ON150" s="42"/>
      <c r="OO150" s="42"/>
      <c r="OP150" s="42"/>
      <c r="OQ150" s="42"/>
      <c r="OR150" s="42"/>
      <c r="OS150" s="42"/>
      <c r="OT150" s="42"/>
      <c r="OU150" s="42"/>
      <c r="OV150" s="43"/>
      <c r="OW150" s="43"/>
      <c r="OX150" s="43"/>
      <c r="OY150" s="43"/>
      <c r="OZ150" s="43"/>
      <c r="PA150" s="43"/>
      <c r="PB150" s="42"/>
      <c r="PC150" s="42"/>
      <c r="PD150" s="42"/>
      <c r="PE150" s="42"/>
      <c r="PF150" s="42"/>
      <c r="PG150" s="42"/>
      <c r="PH150" s="42"/>
      <c r="PI150" s="42"/>
      <c r="PJ150" s="43"/>
      <c r="PK150" s="43"/>
      <c r="PL150" s="43"/>
      <c r="PM150" s="43"/>
      <c r="PN150" s="43"/>
      <c r="PO150" s="43"/>
      <c r="PP150" s="42"/>
      <c r="PQ150" s="42"/>
      <c r="PR150" s="42"/>
      <c r="PS150" s="42"/>
      <c r="PT150" s="42"/>
      <c r="PU150" s="42"/>
      <c r="PV150" s="42"/>
      <c r="PW150" s="42"/>
      <c r="PX150" s="43"/>
      <c r="PY150" s="43"/>
      <c r="PZ150" s="43"/>
      <c r="QA150" s="43"/>
      <c r="QB150" s="43"/>
      <c r="QC150" s="43"/>
      <c r="QD150" s="42"/>
      <c r="QE150" s="42"/>
      <c r="QF150" s="42"/>
      <c r="QG150" s="42"/>
      <c r="QH150" s="42"/>
      <c r="QI150" s="42"/>
      <c r="QJ150" s="42"/>
      <c r="QK150" s="42"/>
      <c r="QL150" s="43"/>
      <c r="QM150" s="43"/>
      <c r="QN150" s="43"/>
      <c r="QO150" s="43"/>
      <c r="QP150" s="43"/>
      <c r="QQ150" s="43"/>
      <c r="QR150" s="42"/>
      <c r="QS150" s="42"/>
      <c r="QT150" s="42"/>
      <c r="QU150" s="42"/>
      <c r="QV150" s="42"/>
      <c r="QW150" s="42"/>
      <c r="QX150" s="42"/>
      <c r="QY150" s="42"/>
      <c r="QZ150" s="43"/>
      <c r="RA150" s="43"/>
      <c r="RB150" s="43"/>
      <c r="RC150" s="43"/>
      <c r="RD150" s="43"/>
      <c r="RE150" s="43"/>
      <c r="RF150" s="42"/>
      <c r="RG150" s="42"/>
      <c r="RH150" s="42"/>
      <c r="RI150" s="42"/>
      <c r="RJ150" s="42"/>
      <c r="RK150" s="42"/>
      <c r="RL150" s="42"/>
      <c r="RM150" s="42"/>
      <c r="RN150" s="43"/>
      <c r="RO150" s="43"/>
      <c r="RP150" s="43"/>
      <c r="RQ150" s="43"/>
      <c r="RR150" s="43"/>
      <c r="RS150" s="43"/>
      <c r="RT150" s="42"/>
      <c r="RU150" s="42"/>
      <c r="RV150" s="42"/>
      <c r="RW150" s="42"/>
      <c r="RX150" s="42"/>
      <c r="RY150" s="42"/>
      <c r="RZ150" s="42"/>
    </row>
    <row r="151" spans="1:494" ht="98.25" customHeight="1" x14ac:dyDescent="0.25">
      <c r="A151" s="45"/>
      <c r="B151" s="12"/>
      <c r="C151" s="12"/>
      <c r="D151" s="42"/>
      <c r="E151" s="42"/>
      <c r="F151" s="42"/>
      <c r="G151" s="42"/>
      <c r="H151" s="42"/>
      <c r="I151" s="42"/>
      <c r="J151" s="42"/>
      <c r="K151" s="7"/>
      <c r="L151" s="7"/>
      <c r="M151" s="42"/>
      <c r="N151" s="42"/>
      <c r="O151" s="42"/>
      <c r="P151" s="42"/>
      <c r="Q151" s="42"/>
      <c r="R151" s="42"/>
      <c r="S151" s="42"/>
      <c r="T151" s="43"/>
      <c r="U151" s="43"/>
      <c r="V151" s="43"/>
      <c r="W151" s="43"/>
      <c r="X151" s="43"/>
      <c r="Y151" s="43"/>
      <c r="Z151" s="42"/>
      <c r="AA151" s="42"/>
      <c r="AB151" s="42"/>
      <c r="AC151" s="42"/>
      <c r="AD151" s="42"/>
      <c r="AE151" s="42"/>
      <c r="AF151" s="42"/>
      <c r="AG151" s="42"/>
      <c r="AH151" s="43"/>
      <c r="AI151" s="43"/>
      <c r="AJ151" s="43"/>
      <c r="AK151" s="43"/>
      <c r="AL151" s="43"/>
      <c r="AM151" s="43"/>
      <c r="AN151" s="42"/>
      <c r="AO151" s="42"/>
      <c r="AP151" s="42"/>
      <c r="AQ151" s="42"/>
      <c r="AR151" s="42"/>
      <c r="AS151" s="42"/>
      <c r="AT151" s="42"/>
      <c r="AU151" s="42"/>
      <c r="AV151" s="43"/>
      <c r="AW151" s="43"/>
      <c r="AX151" s="43"/>
      <c r="AY151" s="43"/>
      <c r="AZ151" s="43"/>
      <c r="BA151" s="43"/>
      <c r="BB151" s="42"/>
      <c r="BC151" s="42"/>
      <c r="BD151" s="42"/>
      <c r="BE151" s="42"/>
      <c r="BF151" s="42"/>
      <c r="BG151" s="42"/>
      <c r="BH151" s="42"/>
      <c r="BI151" s="42"/>
      <c r="BJ151" s="43"/>
      <c r="BK151" s="43"/>
      <c r="BL151" s="43"/>
      <c r="BM151" s="43"/>
      <c r="BN151" s="43"/>
      <c r="BO151" s="43"/>
      <c r="BP151" s="42"/>
      <c r="BQ151" s="42"/>
      <c r="BR151" s="42"/>
      <c r="BS151" s="42"/>
      <c r="BT151" s="42"/>
      <c r="BU151" s="42"/>
      <c r="BV151" s="42"/>
      <c r="BW151" s="42"/>
      <c r="BX151" s="43"/>
      <c r="BY151" s="43"/>
      <c r="BZ151" s="43"/>
      <c r="CA151" s="43"/>
      <c r="CB151" s="43"/>
      <c r="CC151" s="43"/>
      <c r="CD151" s="42"/>
      <c r="CE151" s="42"/>
      <c r="CF151" s="42"/>
      <c r="CG151" s="42"/>
      <c r="CH151" s="42"/>
      <c r="CI151" s="42"/>
      <c r="CJ151" s="42"/>
      <c r="CK151" s="42"/>
      <c r="CL151" s="43"/>
      <c r="CM151" s="43"/>
      <c r="CN151" s="43"/>
      <c r="CO151" s="43"/>
      <c r="CP151" s="43"/>
      <c r="CQ151" s="43"/>
      <c r="CR151" s="42"/>
      <c r="CS151" s="42"/>
      <c r="CT151" s="42"/>
      <c r="CU151" s="42"/>
      <c r="CV151" s="42"/>
      <c r="CW151" s="42"/>
      <c r="CX151" s="42"/>
      <c r="CY151" s="42"/>
      <c r="CZ151" s="43"/>
      <c r="DA151" s="43"/>
      <c r="DB151" s="43"/>
      <c r="DC151" s="43"/>
      <c r="DD151" s="43"/>
      <c r="DE151" s="43"/>
      <c r="DF151" s="42"/>
      <c r="DG151" s="42"/>
      <c r="DH151" s="42"/>
      <c r="DI151" s="42"/>
      <c r="DJ151" s="42"/>
      <c r="DK151" s="42"/>
      <c r="DL151" s="42"/>
      <c r="DM151" s="42"/>
      <c r="DN151" s="43"/>
      <c r="DO151" s="43"/>
      <c r="DP151" s="43"/>
      <c r="DQ151" s="43"/>
      <c r="DR151" s="43"/>
      <c r="DS151" s="43"/>
      <c r="DT151" s="42"/>
      <c r="DU151" s="42"/>
      <c r="DV151" s="42"/>
      <c r="DW151" s="42"/>
      <c r="DX151" s="42"/>
      <c r="DY151" s="42"/>
      <c r="DZ151" s="42"/>
      <c r="EA151" s="42"/>
      <c r="EB151" s="43"/>
      <c r="EC151" s="43"/>
      <c r="ED151" s="43"/>
      <c r="EE151" s="43"/>
      <c r="EF151" s="43"/>
      <c r="EG151" s="43"/>
      <c r="EH151" s="42"/>
      <c r="EI151" s="42"/>
      <c r="EJ151" s="42"/>
      <c r="EK151" s="42"/>
      <c r="EL151" s="42"/>
      <c r="EM151" s="42"/>
      <c r="EN151" s="42"/>
      <c r="EO151" s="42"/>
      <c r="EP151" s="43"/>
      <c r="EQ151" s="43"/>
      <c r="ER151" s="43"/>
      <c r="ES151" s="43"/>
      <c r="ET151" s="43"/>
      <c r="EU151" s="43"/>
      <c r="EV151" s="42"/>
      <c r="EW151" s="42"/>
      <c r="EX151" s="42"/>
      <c r="EY151" s="42"/>
      <c r="EZ151" s="42"/>
      <c r="FA151" s="42"/>
      <c r="FB151" s="42"/>
      <c r="FC151" s="42"/>
      <c r="FD151" s="43"/>
      <c r="FE151" s="43"/>
      <c r="FF151" s="43"/>
      <c r="FG151" s="43"/>
      <c r="FH151" s="43"/>
      <c r="FI151" s="43"/>
      <c r="FJ151" s="42"/>
      <c r="FK151" s="42"/>
      <c r="FL151" s="42"/>
      <c r="FM151" s="42"/>
      <c r="FN151" s="42"/>
      <c r="FO151" s="42"/>
      <c r="FP151" s="42"/>
      <c r="FQ151" s="42"/>
      <c r="FR151" s="43"/>
      <c r="FS151" s="43"/>
      <c r="FT151" s="43"/>
      <c r="FU151" s="43"/>
      <c r="FV151" s="43"/>
      <c r="FW151" s="43"/>
      <c r="FX151" s="42"/>
      <c r="FY151" s="42"/>
      <c r="FZ151" s="42"/>
      <c r="GA151" s="42"/>
      <c r="GB151" s="42"/>
      <c r="GC151" s="42"/>
      <c r="GD151" s="42"/>
      <c r="GE151" s="42"/>
      <c r="GF151" s="43"/>
      <c r="GG151" s="43"/>
      <c r="GH151" s="43"/>
      <c r="GI151" s="43"/>
      <c r="GJ151" s="43"/>
      <c r="GK151" s="43"/>
      <c r="GL151" s="42"/>
      <c r="GM151" s="42"/>
      <c r="GN151" s="42"/>
      <c r="GO151" s="42"/>
      <c r="GP151" s="42"/>
      <c r="GQ151" s="42"/>
      <c r="GR151" s="42"/>
      <c r="GS151" s="42"/>
      <c r="GT151" s="43"/>
      <c r="GU151" s="43"/>
      <c r="GV151" s="43"/>
      <c r="GW151" s="43"/>
      <c r="GX151" s="43"/>
      <c r="GY151" s="43"/>
      <c r="GZ151" s="42"/>
      <c r="HA151" s="42"/>
      <c r="HB151" s="42"/>
      <c r="HC151" s="42"/>
      <c r="HD151" s="42"/>
      <c r="HE151" s="42"/>
      <c r="HF151" s="42"/>
      <c r="HG151" s="42"/>
      <c r="HH151" s="43"/>
      <c r="HI151" s="43"/>
      <c r="HJ151" s="43"/>
      <c r="HK151" s="43"/>
      <c r="HL151" s="43"/>
      <c r="HM151" s="43"/>
      <c r="HN151" s="42"/>
      <c r="HO151" s="42"/>
      <c r="HP151" s="42"/>
      <c r="HQ151" s="42"/>
      <c r="HR151" s="42"/>
      <c r="HS151" s="42"/>
      <c r="HT151" s="42"/>
      <c r="HU151" s="42"/>
      <c r="HV151" s="43"/>
      <c r="HW151" s="43"/>
      <c r="HX151" s="43"/>
      <c r="HY151" s="43"/>
      <c r="HZ151" s="43"/>
      <c r="IA151" s="43"/>
      <c r="IB151" s="42"/>
      <c r="IC151" s="42"/>
      <c r="ID151" s="42"/>
      <c r="IE151" s="42"/>
      <c r="IF151" s="42"/>
      <c r="IG151" s="42"/>
      <c r="IH151" s="42"/>
      <c r="II151" s="42"/>
      <c r="IJ151" s="43"/>
      <c r="IK151" s="43"/>
      <c r="IL151" s="43"/>
      <c r="IM151" s="43"/>
      <c r="IN151" s="43"/>
      <c r="IO151" s="43"/>
      <c r="IP151" s="42"/>
      <c r="IQ151" s="42"/>
      <c r="IR151" s="42"/>
      <c r="IS151" s="42"/>
      <c r="IT151" s="42"/>
      <c r="IU151" s="42"/>
      <c r="IV151" s="42"/>
      <c r="IW151" s="42"/>
      <c r="IX151" s="43"/>
      <c r="IY151" s="43"/>
      <c r="IZ151" s="43"/>
      <c r="JA151" s="43"/>
      <c r="JB151" s="43"/>
      <c r="JC151" s="43"/>
      <c r="JD151" s="42"/>
      <c r="JE151" s="42"/>
      <c r="JF151" s="42"/>
      <c r="JG151" s="42"/>
      <c r="JH151" s="42"/>
      <c r="JI151" s="42"/>
      <c r="JJ151" s="42"/>
      <c r="JK151" s="42"/>
      <c r="JL151" s="43"/>
      <c r="JM151" s="43"/>
      <c r="JN151" s="43"/>
      <c r="JO151" s="43"/>
      <c r="JP151" s="43"/>
      <c r="JQ151" s="43"/>
      <c r="JR151" s="42"/>
      <c r="JS151" s="42"/>
      <c r="JT151" s="42"/>
      <c r="JU151" s="42"/>
      <c r="JV151" s="42"/>
      <c r="JW151" s="42"/>
      <c r="JX151" s="42"/>
      <c r="JY151" s="42"/>
      <c r="JZ151" s="43"/>
      <c r="KA151" s="43"/>
      <c r="KB151" s="43"/>
      <c r="KC151" s="43"/>
      <c r="KD151" s="43"/>
      <c r="KE151" s="43"/>
      <c r="KF151" s="42"/>
      <c r="KG151" s="42"/>
      <c r="KH151" s="42"/>
      <c r="KI151" s="42"/>
      <c r="KJ151" s="42"/>
      <c r="KK151" s="42"/>
      <c r="KL151" s="42"/>
      <c r="KM151" s="42"/>
      <c r="KN151" s="43"/>
      <c r="KO151" s="43"/>
      <c r="KP151" s="43"/>
      <c r="KQ151" s="43"/>
      <c r="KR151" s="43"/>
      <c r="KS151" s="43"/>
      <c r="KT151" s="42"/>
      <c r="KU151" s="42"/>
      <c r="KV151" s="42"/>
      <c r="KW151" s="42"/>
      <c r="KX151" s="42"/>
      <c r="KY151" s="42"/>
      <c r="KZ151" s="42"/>
      <c r="LA151" s="42"/>
      <c r="LB151" s="43"/>
      <c r="LC151" s="43"/>
      <c r="LD151" s="43"/>
      <c r="LE151" s="43"/>
      <c r="LF151" s="43"/>
      <c r="LG151" s="43"/>
      <c r="LH151" s="42"/>
      <c r="LI151" s="42"/>
      <c r="LJ151" s="42"/>
      <c r="LK151" s="42"/>
      <c r="LL151" s="42"/>
      <c r="LM151" s="42"/>
      <c r="LN151" s="42"/>
      <c r="LO151" s="42"/>
      <c r="LP151" s="43"/>
      <c r="LQ151" s="43"/>
      <c r="LR151" s="43"/>
      <c r="LS151" s="43"/>
      <c r="LT151" s="43"/>
      <c r="LU151" s="43"/>
      <c r="LV151" s="42"/>
      <c r="LW151" s="42"/>
      <c r="LX151" s="42"/>
      <c r="LY151" s="42"/>
      <c r="LZ151" s="42"/>
      <c r="MA151" s="42"/>
      <c r="MB151" s="42"/>
      <c r="MC151" s="42"/>
      <c r="MD151" s="43"/>
      <c r="ME151" s="43"/>
      <c r="MF151" s="43"/>
      <c r="MG151" s="43"/>
      <c r="MH151" s="43"/>
      <c r="MI151" s="43"/>
      <c r="MJ151" s="42"/>
      <c r="MK151" s="42"/>
      <c r="ML151" s="42"/>
      <c r="MM151" s="42"/>
      <c r="MN151" s="42"/>
      <c r="MO151" s="42"/>
      <c r="MP151" s="42"/>
      <c r="MQ151" s="42"/>
      <c r="MR151" s="43"/>
      <c r="MS151" s="43"/>
      <c r="MT151" s="43"/>
      <c r="MU151" s="43"/>
      <c r="MV151" s="43"/>
      <c r="MW151" s="43"/>
      <c r="MX151" s="42"/>
      <c r="MY151" s="42"/>
      <c r="MZ151" s="42"/>
      <c r="NA151" s="42"/>
      <c r="NB151" s="42"/>
      <c r="NC151" s="42"/>
      <c r="ND151" s="42"/>
      <c r="NE151" s="42"/>
      <c r="NF151" s="43"/>
      <c r="NG151" s="43"/>
      <c r="NH151" s="43"/>
      <c r="NI151" s="43"/>
      <c r="NJ151" s="43"/>
      <c r="NK151" s="43"/>
      <c r="NL151" s="42"/>
      <c r="NM151" s="42"/>
      <c r="NN151" s="42"/>
      <c r="NO151" s="42"/>
      <c r="NP151" s="42"/>
      <c r="NQ151" s="42"/>
      <c r="NR151" s="42"/>
      <c r="NS151" s="42"/>
      <c r="NT151" s="43"/>
      <c r="NU151" s="43"/>
      <c r="NV151" s="43"/>
      <c r="NW151" s="43"/>
      <c r="NX151" s="43"/>
      <c r="NY151" s="43"/>
      <c r="NZ151" s="42"/>
      <c r="OA151" s="42"/>
      <c r="OB151" s="42"/>
      <c r="OC151" s="42"/>
      <c r="OD151" s="42"/>
      <c r="OE151" s="42"/>
      <c r="OF151" s="42"/>
      <c r="OG151" s="42"/>
      <c r="OH151" s="43"/>
      <c r="OI151" s="43"/>
      <c r="OJ151" s="43"/>
      <c r="OK151" s="43"/>
      <c r="OL151" s="43"/>
      <c r="OM151" s="43"/>
      <c r="ON151" s="42"/>
      <c r="OO151" s="42"/>
      <c r="OP151" s="42"/>
      <c r="OQ151" s="42"/>
      <c r="OR151" s="42"/>
      <c r="OS151" s="42"/>
      <c r="OT151" s="42"/>
      <c r="OU151" s="42"/>
      <c r="OV151" s="43"/>
      <c r="OW151" s="43"/>
      <c r="OX151" s="43"/>
      <c r="OY151" s="43"/>
      <c r="OZ151" s="43"/>
      <c r="PA151" s="43"/>
      <c r="PB151" s="42"/>
      <c r="PC151" s="42"/>
      <c r="PD151" s="42"/>
      <c r="PE151" s="42"/>
      <c r="PF151" s="42"/>
      <c r="PG151" s="42"/>
      <c r="PH151" s="42"/>
      <c r="PI151" s="42"/>
      <c r="PJ151" s="43"/>
      <c r="PK151" s="43"/>
      <c r="PL151" s="43"/>
      <c r="PM151" s="43"/>
      <c r="PN151" s="43"/>
      <c r="PO151" s="43"/>
      <c r="PP151" s="42"/>
      <c r="PQ151" s="42"/>
      <c r="PR151" s="42"/>
      <c r="PS151" s="42"/>
      <c r="PT151" s="42"/>
      <c r="PU151" s="42"/>
      <c r="PV151" s="42"/>
      <c r="PW151" s="42"/>
      <c r="PX151" s="43"/>
      <c r="PY151" s="43"/>
      <c r="PZ151" s="43"/>
      <c r="QA151" s="43"/>
      <c r="QB151" s="43"/>
      <c r="QC151" s="43"/>
      <c r="QD151" s="42"/>
      <c r="QE151" s="42"/>
      <c r="QF151" s="42"/>
      <c r="QG151" s="42"/>
      <c r="QH151" s="42"/>
      <c r="QI151" s="42"/>
      <c r="QJ151" s="42"/>
      <c r="QK151" s="42"/>
      <c r="QL151" s="43"/>
      <c r="QM151" s="43"/>
      <c r="QN151" s="43"/>
      <c r="QO151" s="43"/>
      <c r="QP151" s="43"/>
      <c r="QQ151" s="43"/>
      <c r="QR151" s="42"/>
      <c r="QS151" s="42"/>
      <c r="QT151" s="42"/>
      <c r="QU151" s="42"/>
      <c r="QV151" s="42"/>
      <c r="QW151" s="42"/>
      <c r="QX151" s="42"/>
      <c r="QY151" s="42"/>
      <c r="QZ151" s="43"/>
      <c r="RA151" s="43"/>
      <c r="RB151" s="43"/>
      <c r="RC151" s="43"/>
      <c r="RD151" s="43"/>
      <c r="RE151" s="43"/>
      <c r="RF151" s="42"/>
      <c r="RG151" s="42"/>
      <c r="RH151" s="42"/>
      <c r="RI151" s="42"/>
      <c r="RJ151" s="42"/>
      <c r="RK151" s="42"/>
      <c r="RL151" s="42"/>
      <c r="RM151" s="42"/>
      <c r="RN151" s="43"/>
      <c r="RO151" s="43"/>
      <c r="RP151" s="43"/>
      <c r="RQ151" s="43"/>
      <c r="RR151" s="43"/>
      <c r="RS151" s="43"/>
      <c r="RT151" s="42"/>
      <c r="RU151" s="42"/>
      <c r="RV151" s="42"/>
      <c r="RW151" s="42"/>
      <c r="RX151" s="42"/>
      <c r="RY151" s="42"/>
      <c r="RZ151" s="42"/>
    </row>
    <row r="152" spans="1:494" ht="105" customHeight="1" x14ac:dyDescent="0.25">
      <c r="A152" s="16"/>
      <c r="B152" s="2"/>
      <c r="C152" s="2"/>
      <c r="D152" s="5"/>
      <c r="E152" s="5"/>
      <c r="F152" s="5"/>
      <c r="G152" s="5"/>
    </row>
    <row r="153" spans="1:494" x14ac:dyDescent="0.25">
      <c r="A153" s="16"/>
      <c r="B153" s="2"/>
      <c r="C153" s="2"/>
      <c r="D153" s="5"/>
      <c r="E153" s="5"/>
      <c r="F153" s="5"/>
      <c r="G153" s="5"/>
    </row>
    <row r="154" spans="1:494" x14ac:dyDescent="0.25">
      <c r="A154" s="16"/>
      <c r="B154" s="2"/>
      <c r="C154" s="2"/>
      <c r="D154" s="5"/>
      <c r="E154" s="5"/>
      <c r="F154" s="5"/>
      <c r="G154" s="5"/>
    </row>
    <row r="155" spans="1:494" x14ac:dyDescent="0.25">
      <c r="A155" s="16"/>
      <c r="B155" s="2"/>
      <c r="C155" s="2"/>
      <c r="D155" s="5"/>
      <c r="E155" s="5"/>
      <c r="F155" s="5"/>
      <c r="G155" s="5"/>
    </row>
    <row r="156" spans="1:494" x14ac:dyDescent="0.25">
      <c r="A156" s="16"/>
      <c r="B156" s="2"/>
      <c r="C156" s="2"/>
      <c r="D156" s="5"/>
      <c r="E156" s="5"/>
      <c r="F156" s="5"/>
      <c r="G156" s="5"/>
    </row>
  </sheetData>
  <mergeCells count="60"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  <mergeCell ref="J2:L2"/>
    <mergeCell ref="J3:L3"/>
    <mergeCell ref="J4:L4"/>
    <mergeCell ref="H5:L5"/>
    <mergeCell ref="H6:L6"/>
    <mergeCell ref="A77:A79"/>
    <mergeCell ref="A56:A58"/>
    <mergeCell ref="A129:A139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A142:A144"/>
    <mergeCell ref="B129:B130"/>
    <mergeCell ref="A149:K149"/>
    <mergeCell ref="J12:J13"/>
    <mergeCell ref="F12:F13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:A16"/>
    <mergeCell ref="A94:A97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5" x14ac:dyDescent="0.25"/>
  <cols>
    <col min="6" max="6" width="23" customWidth="1"/>
  </cols>
  <sheetData>
    <row r="3" spans="6:6" x14ac:dyDescent="0.25">
      <c r="F3">
        <v>41152725.43</v>
      </c>
    </row>
    <row r="4" spans="6:6" x14ac:dyDescent="0.25">
      <c r="F4">
        <v>7200000</v>
      </c>
    </row>
    <row r="5" spans="6:6" x14ac:dyDescent="0.25">
      <c r="F5">
        <v>16650000</v>
      </c>
    </row>
    <row r="6" spans="6:6" x14ac:dyDescent="0.25">
      <c r="F6">
        <v>66152263.600000001</v>
      </c>
    </row>
    <row r="7" spans="6:6" x14ac:dyDescent="0.25">
      <c r="F7">
        <v>7420126.6600000001</v>
      </c>
    </row>
    <row r="8" spans="6:6" x14ac:dyDescent="0.25">
      <c r="F8">
        <v>21594209.73</v>
      </c>
    </row>
    <row r="9" spans="6:6" x14ac:dyDescent="0.25">
      <c r="F9">
        <v>2000000</v>
      </c>
    </row>
    <row r="10" spans="6:6" x14ac:dyDescent="0.25">
      <c r="F10">
        <v>400000</v>
      </c>
    </row>
    <row r="11" spans="6:6" x14ac:dyDescent="0.25">
      <c r="F11">
        <v>200000</v>
      </c>
    </row>
    <row r="12" spans="6:6" x14ac:dyDescent="0.25">
      <c r="F12">
        <v>1000000</v>
      </c>
    </row>
    <row r="13" spans="6:6" x14ac:dyDescent="0.25">
      <c r="F13">
        <v>30000</v>
      </c>
    </row>
    <row r="14" spans="6:6" x14ac:dyDescent="0.25">
      <c r="F14">
        <v>7509942.6399999997</v>
      </c>
    </row>
    <row r="15" spans="6:6" x14ac:dyDescent="0.25">
      <c r="F15">
        <v>138881410.30000001</v>
      </c>
    </row>
    <row r="16" spans="6:6" x14ac:dyDescent="0.25">
      <c r="F16">
        <v>25000</v>
      </c>
    </row>
    <row r="17" spans="6:6" x14ac:dyDescent="0.25">
      <c r="F17">
        <v>668920</v>
      </c>
    </row>
    <row r="18" spans="6:6" x14ac:dyDescent="0.25">
      <c r="F18">
        <v>150000</v>
      </c>
    </row>
    <row r="19" spans="6:6" x14ac:dyDescent="0.25">
      <c r="F19">
        <v>145905</v>
      </c>
    </row>
    <row r="20" spans="6:6" x14ac:dyDescent="0.25">
      <c r="F20">
        <v>1600000</v>
      </c>
    </row>
    <row r="21" spans="6:6" x14ac:dyDescent="0.25">
      <c r="F21">
        <v>2500000</v>
      </c>
    </row>
    <row r="22" spans="6:6" x14ac:dyDescent="0.25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2024-10-18T01:30:26Z</dcterms:modified>
</cp:coreProperties>
</file>