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5"/>
  <workbookPr filterPrivacy="1" defaultThemeVersion="124226"/>
  <xr:revisionPtr revIDLastSave="0" documentId="13_ncr:1_{16ACE473-6906-4B2C-86F6-66C0A016194E}" xr6:coauthVersionLast="36" xr6:coauthVersionMax="36" xr10:uidLastSave="{00000000-0000-0000-0000-000000000000}"/>
  <bookViews>
    <workbookView xWindow="0" yWindow="0" windowWidth="17280" windowHeight="8592" xr2:uid="{00000000-000D-0000-FFFF-FFFF00000000}"/>
  </bookViews>
  <sheets>
    <sheet name="Приложение 1" sheetId="4" r:id="rId1"/>
  </sheets>
  <definedNames>
    <definedName name="_xlnm.Print_Titles" localSheetId="0">'Приложение 1'!$13:$15</definedName>
    <definedName name="_xlnm.Print_Area" localSheetId="0">'Приложение 1'!$A$2:$K$138</definedName>
  </definedNames>
  <calcPr calcId="191029"/>
</workbook>
</file>

<file path=xl/calcChain.xml><?xml version="1.0" encoding="utf-8"?>
<calcChain xmlns="http://schemas.openxmlformats.org/spreadsheetml/2006/main">
  <c r="I77" i="4" l="1"/>
  <c r="D78" i="4"/>
  <c r="E78" i="4"/>
  <c r="I78" i="4"/>
  <c r="D93" i="4"/>
  <c r="D92" i="4"/>
  <c r="D91" i="4"/>
  <c r="D94" i="4"/>
  <c r="D98" i="4"/>
  <c r="D101" i="4"/>
  <c r="D104" i="4"/>
  <c r="D108" i="4"/>
  <c r="D137" i="4" l="1"/>
  <c r="D136" i="4"/>
  <c r="D135" i="4"/>
  <c r="D134" i="4"/>
  <c r="I133" i="4"/>
  <c r="D133" i="4"/>
  <c r="I132" i="4"/>
  <c r="D132" i="4"/>
  <c r="D131" i="4"/>
  <c r="D130" i="4"/>
  <c r="D129" i="4"/>
  <c r="J128" i="4"/>
  <c r="J79" i="4" s="1"/>
  <c r="I128" i="4"/>
  <c r="H128" i="4"/>
  <c r="G128" i="4"/>
  <c r="G79" i="4" s="1"/>
  <c r="F128" i="4"/>
  <c r="F79" i="4" s="1"/>
  <c r="E128" i="4"/>
  <c r="D127" i="4"/>
  <c r="F126" i="4"/>
  <c r="D126" i="4" s="1"/>
  <c r="K125" i="4"/>
  <c r="J125" i="4"/>
  <c r="I125" i="4"/>
  <c r="H125" i="4"/>
  <c r="G125" i="4"/>
  <c r="E125" i="4"/>
  <c r="D124" i="4"/>
  <c r="D123" i="4"/>
  <c r="D122" i="4"/>
  <c r="D121" i="4"/>
  <c r="K120" i="4"/>
  <c r="J120" i="4"/>
  <c r="I120" i="4"/>
  <c r="H120" i="4"/>
  <c r="G120" i="4"/>
  <c r="F120" i="4"/>
  <c r="E120" i="4"/>
  <c r="D120" i="4" s="1"/>
  <c r="J119" i="4"/>
  <c r="I119" i="4"/>
  <c r="H119" i="4"/>
  <c r="G119" i="4"/>
  <c r="F119" i="4"/>
  <c r="I118" i="4"/>
  <c r="H118" i="4"/>
  <c r="G118" i="4"/>
  <c r="F118" i="4"/>
  <c r="I117" i="4"/>
  <c r="H117" i="4"/>
  <c r="G117" i="4"/>
  <c r="D117" i="4" s="1"/>
  <c r="F116" i="4"/>
  <c r="D116" i="4"/>
  <c r="F115" i="4"/>
  <c r="D115" i="4" s="1"/>
  <c r="H114" i="4"/>
  <c r="G114" i="4"/>
  <c r="F114" i="4"/>
  <c r="H113" i="4"/>
  <c r="G113" i="4"/>
  <c r="F113" i="4"/>
  <c r="E113" i="4"/>
  <c r="D112" i="4"/>
  <c r="G111" i="4"/>
  <c r="F111" i="4"/>
  <c r="E111" i="4"/>
  <c r="I110" i="4"/>
  <c r="H110" i="4"/>
  <c r="G110" i="4"/>
  <c r="F110" i="4"/>
  <c r="I109" i="4"/>
  <c r="I108" i="4" s="1"/>
  <c r="H109" i="4"/>
  <c r="H108" i="4" s="1"/>
  <c r="G109" i="4"/>
  <c r="F109" i="4"/>
  <c r="F108" i="4" s="1"/>
  <c r="K108" i="4"/>
  <c r="J108" i="4"/>
  <c r="H107" i="4"/>
  <c r="D107" i="4" s="1"/>
  <c r="D106" i="4"/>
  <c r="D105" i="4"/>
  <c r="K104" i="4"/>
  <c r="J104" i="4"/>
  <c r="I104" i="4"/>
  <c r="H104" i="4"/>
  <c r="G104" i="4"/>
  <c r="F104" i="4"/>
  <c r="E104" i="4"/>
  <c r="I103" i="4"/>
  <c r="D103" i="4" s="1"/>
  <c r="H102" i="4"/>
  <c r="H101" i="4" s="1"/>
  <c r="E102" i="4"/>
  <c r="E101" i="4" s="1"/>
  <c r="K101" i="4"/>
  <c r="J101" i="4"/>
  <c r="G101" i="4"/>
  <c r="F101" i="4"/>
  <c r="D100" i="4"/>
  <c r="I99" i="4"/>
  <c r="I91" i="4" s="1"/>
  <c r="H99" i="4"/>
  <c r="G99" i="4"/>
  <c r="G98" i="4" s="1"/>
  <c r="F99" i="4"/>
  <c r="E99" i="4"/>
  <c r="E98" i="4" s="1"/>
  <c r="K98" i="4"/>
  <c r="J98" i="4"/>
  <c r="H98" i="4"/>
  <c r="D97" i="4"/>
  <c r="I96" i="4"/>
  <c r="I94" i="4" s="1"/>
  <c r="G96" i="4"/>
  <c r="F96" i="4"/>
  <c r="F92" i="4" s="1"/>
  <c r="H95" i="4"/>
  <c r="H94" i="4" s="1"/>
  <c r="G95" i="4"/>
  <c r="G94" i="4" s="1"/>
  <c r="F95" i="4"/>
  <c r="E95" i="4"/>
  <c r="E94" i="4" s="1"/>
  <c r="K94" i="4"/>
  <c r="J94" i="4"/>
  <c r="K93" i="4"/>
  <c r="J93" i="4"/>
  <c r="I93" i="4"/>
  <c r="H93" i="4"/>
  <c r="G93" i="4"/>
  <c r="F93" i="4"/>
  <c r="E93" i="4"/>
  <c r="K92" i="4"/>
  <c r="J92" i="4"/>
  <c r="H92" i="4"/>
  <c r="G92" i="4"/>
  <c r="E92" i="4"/>
  <c r="K91" i="4"/>
  <c r="J91" i="4"/>
  <c r="I89" i="4"/>
  <c r="H89" i="4"/>
  <c r="G88" i="4"/>
  <c r="D88" i="4" s="1"/>
  <c r="F88" i="4"/>
  <c r="D87" i="4"/>
  <c r="H86" i="4"/>
  <c r="D86" i="4" s="1"/>
  <c r="I85" i="4"/>
  <c r="D85" i="4" s="1"/>
  <c r="I84" i="4"/>
  <c r="D84" i="4" s="1"/>
  <c r="J83" i="4"/>
  <c r="J82" i="4" s="1"/>
  <c r="I83" i="4"/>
  <c r="H83" i="4"/>
  <c r="G83" i="4"/>
  <c r="F83" i="4"/>
  <c r="F82" i="4" s="1"/>
  <c r="K82" i="4"/>
  <c r="G82" i="4"/>
  <c r="E82" i="4"/>
  <c r="K79" i="4"/>
  <c r="I79" i="4"/>
  <c r="H79" i="4"/>
  <c r="E79" i="4"/>
  <c r="H76" i="4"/>
  <c r="G76" i="4"/>
  <c r="F76" i="4"/>
  <c r="F72" i="4" s="1"/>
  <c r="E76" i="4"/>
  <c r="D75" i="4"/>
  <c r="H74" i="4"/>
  <c r="G74" i="4"/>
  <c r="F74" i="4"/>
  <c r="E74" i="4"/>
  <c r="H73" i="4"/>
  <c r="G73" i="4"/>
  <c r="D73" i="4" s="1"/>
  <c r="F73" i="4"/>
  <c r="K72" i="4"/>
  <c r="J72" i="4"/>
  <c r="I72" i="4"/>
  <c r="I71" i="4"/>
  <c r="D71" i="4"/>
  <c r="H70" i="4"/>
  <c r="D70" i="4"/>
  <c r="G69" i="4"/>
  <c r="D69" i="4"/>
  <c r="G68" i="4"/>
  <c r="D68" i="4"/>
  <c r="F67" i="4"/>
  <c r="D67" i="4"/>
  <c r="D66" i="4"/>
  <c r="E65" i="4"/>
  <c r="D65" i="4" s="1"/>
  <c r="E64" i="4"/>
  <c r="D64" i="4"/>
  <c r="K63" i="4"/>
  <c r="J63" i="4"/>
  <c r="I63" i="4"/>
  <c r="H63" i="4"/>
  <c r="G63" i="4"/>
  <c r="F63" i="4"/>
  <c r="E62" i="4"/>
  <c r="D62" i="4" s="1"/>
  <c r="H61" i="4"/>
  <c r="G61" i="4"/>
  <c r="F61" i="4"/>
  <c r="E61" i="4"/>
  <c r="I60" i="4"/>
  <c r="H60" i="4"/>
  <c r="G60" i="4"/>
  <c r="F60" i="4"/>
  <c r="F59" i="4"/>
  <c r="D59" i="4" s="1"/>
  <c r="I58" i="4"/>
  <c r="H58" i="4"/>
  <c r="H57" i="4" s="1"/>
  <c r="G58" i="4"/>
  <c r="F58" i="4"/>
  <c r="E58" i="4"/>
  <c r="K57" i="4"/>
  <c r="K55" i="4" s="1"/>
  <c r="J57" i="4"/>
  <c r="I57" i="4"/>
  <c r="E57" i="4"/>
  <c r="K56" i="4"/>
  <c r="K27" i="4" s="1"/>
  <c r="J56" i="4"/>
  <c r="I56" i="4"/>
  <c r="I27" i="4" s="1"/>
  <c r="H56" i="4"/>
  <c r="H27" i="4" s="1"/>
  <c r="G56" i="4"/>
  <c r="G27" i="4" s="1"/>
  <c r="F56" i="4"/>
  <c r="F27" i="4" s="1"/>
  <c r="J55" i="4"/>
  <c r="H53" i="4"/>
  <c r="D53" i="4"/>
  <c r="I52" i="4"/>
  <c r="H52" i="4"/>
  <c r="G52" i="4"/>
  <c r="F52" i="4"/>
  <c r="F50" i="4" s="1"/>
  <c r="E52" i="4"/>
  <c r="I51" i="4"/>
  <c r="H51" i="4"/>
  <c r="G51" i="4"/>
  <c r="G50" i="4" s="1"/>
  <c r="F51" i="4"/>
  <c r="E51" i="4"/>
  <c r="E50" i="4" s="1"/>
  <c r="K50" i="4"/>
  <c r="J50" i="4"/>
  <c r="D49" i="4"/>
  <c r="D30" i="4" s="1"/>
  <c r="D48" i="4"/>
  <c r="K47" i="4"/>
  <c r="J47" i="4"/>
  <c r="I47" i="4"/>
  <c r="H47" i="4"/>
  <c r="G47" i="4"/>
  <c r="F47" i="4"/>
  <c r="E47" i="4"/>
  <c r="H46" i="4"/>
  <c r="D46" i="4" s="1"/>
  <c r="H45" i="4"/>
  <c r="D45" i="4" s="1"/>
  <c r="D44" i="4"/>
  <c r="H43" i="4"/>
  <c r="G43" i="4"/>
  <c r="G42" i="4"/>
  <c r="F42" i="4"/>
  <c r="F41" i="4"/>
  <c r="D41" i="4" s="1"/>
  <c r="I40" i="4"/>
  <c r="H40" i="4"/>
  <c r="G40" i="4"/>
  <c r="F40" i="4"/>
  <c r="E40" i="4"/>
  <c r="F35" i="4"/>
  <c r="E35" i="4"/>
  <c r="D35" i="4" s="1"/>
  <c r="H34" i="4"/>
  <c r="G34" i="4"/>
  <c r="F34" i="4"/>
  <c r="E34" i="4"/>
  <c r="G33" i="4"/>
  <c r="F33" i="4"/>
  <c r="I32" i="4"/>
  <c r="H32" i="4"/>
  <c r="G32" i="4"/>
  <c r="F32" i="4"/>
  <c r="I31" i="4"/>
  <c r="H31" i="4"/>
  <c r="G31" i="4"/>
  <c r="F31" i="4"/>
  <c r="K30" i="4"/>
  <c r="J30" i="4"/>
  <c r="I30" i="4"/>
  <c r="H30" i="4"/>
  <c r="G30" i="4"/>
  <c r="F30" i="4"/>
  <c r="E30" i="4"/>
  <c r="K29" i="4"/>
  <c r="J29" i="4"/>
  <c r="J28" i="4" s="1"/>
  <c r="J27" i="4"/>
  <c r="H20" i="4"/>
  <c r="G20" i="4"/>
  <c r="F20" i="4"/>
  <c r="K19" i="4"/>
  <c r="J19" i="4"/>
  <c r="D34" i="4" l="1"/>
  <c r="D43" i="4"/>
  <c r="I29" i="4"/>
  <c r="I28" i="4" s="1"/>
  <c r="K28" i="4"/>
  <c r="D33" i="4"/>
  <c r="E91" i="4"/>
  <c r="F94" i="4"/>
  <c r="J26" i="4"/>
  <c r="J25" i="4" s="1"/>
  <c r="D20" i="4"/>
  <c r="G29" i="4"/>
  <c r="G28" i="4" s="1"/>
  <c r="D89" i="4"/>
  <c r="J18" i="4"/>
  <c r="D32" i="4"/>
  <c r="D42" i="4"/>
  <c r="D47" i="4"/>
  <c r="K18" i="4"/>
  <c r="D102" i="4"/>
  <c r="D114" i="4"/>
  <c r="J54" i="4"/>
  <c r="D52" i="4"/>
  <c r="I50" i="4"/>
  <c r="H72" i="4"/>
  <c r="F91" i="4"/>
  <c r="F90" i="4" s="1"/>
  <c r="F78" i="4" s="1"/>
  <c r="G108" i="4"/>
  <c r="D58" i="4"/>
  <c r="D57" i="4" s="1"/>
  <c r="D96" i="4"/>
  <c r="I98" i="4"/>
  <c r="G57" i="4"/>
  <c r="G55" i="4" s="1"/>
  <c r="D61" i="4"/>
  <c r="D74" i="4"/>
  <c r="H82" i="4"/>
  <c r="K90" i="4"/>
  <c r="K78" i="4" s="1"/>
  <c r="D118" i="4"/>
  <c r="I55" i="4"/>
  <c r="I54" i="4" s="1"/>
  <c r="H18" i="4"/>
  <c r="D95" i="4"/>
  <c r="D99" i="4"/>
  <c r="D119" i="4"/>
  <c r="D31" i="4"/>
  <c r="D40" i="4"/>
  <c r="D51" i="4"/>
  <c r="D50" i="4" s="1"/>
  <c r="H50" i="4"/>
  <c r="D60" i="4"/>
  <c r="G72" i="4"/>
  <c r="D76" i="4"/>
  <c r="I82" i="4"/>
  <c r="J90" i="4"/>
  <c r="J78" i="4" s="1"/>
  <c r="F98" i="4"/>
  <c r="D109" i="4"/>
  <c r="D110" i="4"/>
  <c r="D111" i="4"/>
  <c r="D113" i="4"/>
  <c r="D128" i="4"/>
  <c r="D79" i="4"/>
  <c r="G18" i="4"/>
  <c r="F18" i="4"/>
  <c r="F125" i="4"/>
  <c r="F77" i="4" s="1"/>
  <c r="I18" i="4"/>
  <c r="I101" i="4"/>
  <c r="H91" i="4"/>
  <c r="H90" i="4" s="1"/>
  <c r="H77" i="4" s="1"/>
  <c r="I92" i="4"/>
  <c r="E108" i="4"/>
  <c r="K77" i="4"/>
  <c r="E90" i="4"/>
  <c r="G91" i="4"/>
  <c r="G90" i="4" s="1"/>
  <c r="G77" i="4" s="1"/>
  <c r="D83" i="4"/>
  <c r="D82" i="4" s="1"/>
  <c r="K26" i="4"/>
  <c r="K25" i="4" s="1"/>
  <c r="E72" i="4"/>
  <c r="D63" i="4"/>
  <c r="D56" i="4"/>
  <c r="D27" i="4" s="1"/>
  <c r="G54" i="4"/>
  <c r="K54" i="4"/>
  <c r="H55" i="4"/>
  <c r="H54" i="4" s="1"/>
  <c r="E55" i="4"/>
  <c r="E56" i="4"/>
  <c r="E27" i="4" s="1"/>
  <c r="E18" i="4" s="1"/>
  <c r="E63" i="4"/>
  <c r="F57" i="4"/>
  <c r="F55" i="4" s="1"/>
  <c r="F54" i="4" s="1"/>
  <c r="H29" i="4"/>
  <c r="H28" i="4" s="1"/>
  <c r="F29" i="4"/>
  <c r="I22" i="4"/>
  <c r="I19" i="4" s="1"/>
  <c r="H22" i="4"/>
  <c r="H19" i="4" s="1"/>
  <c r="G22" i="4"/>
  <c r="G19" i="4" s="1"/>
  <c r="F22" i="4"/>
  <c r="E22" i="4"/>
  <c r="E19" i="4" s="1"/>
  <c r="J17" i="4" l="1"/>
  <c r="J16" i="4" s="1"/>
  <c r="H78" i="4"/>
  <c r="I26" i="4"/>
  <c r="I25" i="4" s="1"/>
  <c r="D55" i="4"/>
  <c r="D54" i="4" s="1"/>
  <c r="J77" i="4"/>
  <c r="D72" i="4"/>
  <c r="K17" i="4"/>
  <c r="K16" i="4" s="1"/>
  <c r="D125" i="4"/>
  <c r="G26" i="4"/>
  <c r="G25" i="4" s="1"/>
  <c r="D22" i="4"/>
  <c r="D19" i="4" s="1"/>
  <c r="H26" i="4"/>
  <c r="H25" i="4" s="1"/>
  <c r="F19" i="4"/>
  <c r="D18" i="4"/>
  <c r="I90" i="4"/>
  <c r="I17" i="4" s="1"/>
  <c r="I16" i="4" s="1"/>
  <c r="G78" i="4"/>
  <c r="E77" i="4"/>
  <c r="E54" i="4"/>
  <c r="H17" i="4"/>
  <c r="H16" i="4" s="1"/>
  <c r="F28" i="4"/>
  <c r="F26" i="4"/>
  <c r="D90" i="4" l="1"/>
  <c r="G17" i="4"/>
  <c r="G16" i="4" s="1"/>
  <c r="D77" i="4"/>
  <c r="F17" i="4"/>
  <c r="F16" i="4" s="1"/>
  <c r="F25" i="4"/>
  <c r="E39" i="4" l="1"/>
  <c r="E29" i="4" s="1"/>
  <c r="E26" i="4" l="1"/>
  <c r="E28" i="4"/>
  <c r="D39" i="4"/>
  <c r="D29" i="4" s="1"/>
  <c r="D26" i="4" l="1"/>
  <c r="D28" i="4"/>
  <c r="E25" i="4"/>
  <c r="E17" i="4"/>
  <c r="E16" i="4" s="1"/>
  <c r="D25" i="4" l="1"/>
  <c r="D17" i="4"/>
  <c r="D16" i="4" s="1"/>
</calcChain>
</file>

<file path=xl/sharedStrings.xml><?xml version="1.0" encoding="utf-8"?>
<sst xmlns="http://schemas.openxmlformats.org/spreadsheetml/2006/main" count="397" uniqueCount="141">
  <si>
    <t>Источник финансирования</t>
  </si>
  <si>
    <t>Общий объем финансирования, руб.</t>
  </si>
  <si>
    <t>Администрация города</t>
  </si>
  <si>
    <t>Дума города</t>
  </si>
  <si>
    <t>КСП</t>
  </si>
  <si>
    <t>Комитет по управлению муниципальным имуществом администрации города</t>
  </si>
  <si>
    <t>Бюджет города</t>
  </si>
  <si>
    <t>Без финансирования</t>
  </si>
  <si>
    <t xml:space="preserve"> Аппарат администрации города Усолье-Сибирское</t>
  </si>
  <si>
    <t xml:space="preserve">Основное мероприятие 1.1                              Обеспечение эффективного управления муниципальными финансами, формирования, организации исполнения бюджета города </t>
  </si>
  <si>
    <t>Основное мероприятие 1.2                         Организация работы по наполнению доходами бюджета города</t>
  </si>
  <si>
    <t>Основное мероприятие 3.1                              Организация процесса управления и распоряжения муниципальным имуществом</t>
  </si>
  <si>
    <t>Основное мероприятие 3.3
Выполнение обязательств по владению и пользованию муниципальным имуществом</t>
  </si>
  <si>
    <t>Основное мероприятие 3.4 
Руководство и управление в сфере установленных функций</t>
  </si>
  <si>
    <t>Администрация города Усолье-Сибирское</t>
  </si>
  <si>
    <t>Мероприятие 4.4.2
Информационное сопровождение деятельности органов местного самоуправления города в печатных СМИ</t>
  </si>
  <si>
    <t xml:space="preserve">Мероприятие 4.4.1
Выпуск и распространение газеты Официальное Усолье
</t>
  </si>
  <si>
    <t xml:space="preserve">Мероприятие 4.4.4
Информационное сопровождение деятельности органов местного самоуправления города в электронных СМИ (Радио)  </t>
  </si>
  <si>
    <t xml:space="preserve">Основное мероприятие 4.5
Обеспечение деятельности администрации города Усолье-Сибирское </t>
  </si>
  <si>
    <t xml:space="preserve">Мероприятие 4.5.1
Обеспечение функционирования администрации города Усолье-Сибирское
</t>
  </si>
  <si>
    <t xml:space="preserve">Основное мероприятие 4.6
Резервный фонд администрации города Усолье-Сибирское
</t>
  </si>
  <si>
    <t xml:space="preserve">Основное мероприятие 4.7
Накопление, восполнение резерва материальных ресурсов города Усолье-Сибирское
</t>
  </si>
  <si>
    <t>Мероприятие 3.1.1                                                      Проведение технической инвентаризации и паспортизации объектов муниципального имущества, постановка их на государственный кадастровый учет, регистрация права собственности на объекты муниципального имущества</t>
  </si>
  <si>
    <t>Мероприятие 3.1.5                                                                    Списание и утилизация муниципального имущества</t>
  </si>
  <si>
    <t>Мероприятие 3.1.6                                                               Выявление бесхозяйных объектов на территории города Усолье-Сибирское и проведение мероприятий с целью регистрации муниципального права собственности</t>
  </si>
  <si>
    <t>Основное мероприятие 3.2                                                           Организация процесса управления и распоряжения земельными участками</t>
  </si>
  <si>
    <t>Мероприятие 3.3.1                                                                                                            Содержание временно не эксплуатируемых объектов</t>
  </si>
  <si>
    <t>Мероприятие 3.4.1                                                                        Обеспечение деятельности Комитета по управлению муниципальным имуществом администрации города</t>
  </si>
  <si>
    <t>Основное мероприятие 4.1                                                    Повышение эффективности управления экономическим развитием города Усолье-Сибирское</t>
  </si>
  <si>
    <t>Основное мероприятие 4.3                                                                                                 Повышение эффективности использования городских территорий и территориальных резервов для осуществления градостроительной деятельности города Усолье-Сибирское</t>
  </si>
  <si>
    <t>Мероприятие 3.1.8                                                           Проведение анализа и согласование программ деятельности муниципальных унитарных предприятий на очередной финансовый год</t>
  </si>
  <si>
    <t>Мероприятие 3.1.7                                                                            Осуществление общего контроля за результатами финансово-хозяйственной деятельности муниципальных унитарных предприятий, эффективностью и целевым использованием закрепленного за ними на праве хозяйственного ведения муниципального имущества</t>
  </si>
  <si>
    <t>Администрация города Усолье-Сибирское,                          Дума города Усолье-Сибирское,                                          КСП города Усолье-Сибирское</t>
  </si>
  <si>
    <t>Основное мероприятие 1.4                         Совершенствование осуществления внутреннего муниципального финансового контроля в сфере бюджетных  правоотношений, контроля за соблюдением законодательства Российской Федерации и иных нормативных правовых актов о контрактной системе в сфере закупок товаров, работ, услуг для обеспечения муниципальных нужд на территории города Усолье-Сибирское</t>
  </si>
  <si>
    <t>Основное мероприятие 4.4
Своевременное и достоверное информирование населения города о деятельности органов местного самоуправления муниципального образования "город Усолье-Сибирское"</t>
  </si>
  <si>
    <t>Мероприятие 3.4.4                                                                        Закупка товаров, работ, услуг для обеспечения деятельности сотрудников комитета по управлению муниципальным имуществом</t>
  </si>
  <si>
    <t>Мероприятие 4.5.4
Содержание МКУ "Централизованная бухгалтерия города Усолье-Сибирское"</t>
  </si>
  <si>
    <t>МКУ "Централизованная бухгалтерия города Усолье-Сибирское"</t>
  </si>
  <si>
    <t xml:space="preserve">Мероприятие 4.5.3
Информационно-статистические услуги
</t>
  </si>
  <si>
    <t xml:space="preserve">Мероприятие 4.5.2
Обеспечение бесперебойной работы автоматизированных рабочих мест администрации города Усолье-Сибирское
</t>
  </si>
  <si>
    <t>Основное мероприятие 4.2                                                                                       Повышение эффективности деятельности по регулированию контрактной системы в сфере закупок для муниципальных нужд города Усолье-Сибирское</t>
  </si>
  <si>
    <t>Комитет по финансам администрации города</t>
  </si>
  <si>
    <t>Отдел регулирования контрактной системы в сфере закупок администрации города</t>
  </si>
  <si>
    <t>Отдел архитектуры и градостроительства администрации города</t>
  </si>
  <si>
    <t>2020 год</t>
  </si>
  <si>
    <t>2019 год</t>
  </si>
  <si>
    <t>Всего</t>
  </si>
  <si>
    <t xml:space="preserve">Основное мероприятие 4.8
Организация и проведение конкурса "Общественное признание"
</t>
  </si>
  <si>
    <t>2021 год</t>
  </si>
  <si>
    <t>2022 год</t>
  </si>
  <si>
    <t>2023 год</t>
  </si>
  <si>
    <t>2024 год</t>
  </si>
  <si>
    <t>Мероприятие 4.3.1                                                                 Разработка документов территориального планирования муниципального образования "город Усолье-Сибирское"</t>
  </si>
  <si>
    <t>Комитет экономического развития администрации города</t>
  </si>
  <si>
    <t>Мероприятие 3.1.2                                                            Проведение рыночной оценки приватизируемого или предоставляемого в аренду муниципального имущества</t>
  </si>
  <si>
    <t>Мероприятие 3.1.3                                                                Нотариальное удостоверение подлинности документов, оплата государственной пошлины, возмещение расходов на уведомление кредиторов по делам о банкротстве</t>
  </si>
  <si>
    <t>Мероприятие 3.1.9                                               Подготовка актов об отсутствии объектов недвижимости на земельном участке</t>
  </si>
  <si>
    <t>Мероприятие 3.1.10                                              Проведение мероприятий по приведению жилых помещений к установленным санитарным и техническим нормам</t>
  </si>
  <si>
    <t>Мероприятие 3.2.2                                                               Проведение рыночной оценки приватизируемых или предоставляемых в аренду земельных участков</t>
  </si>
  <si>
    <t>Мероприятие 3.3.2                                                                                       Исполнение обязательств при владении и пользовании муниципальным имуществом (ОСАГО, налоги, пени, штрафы)</t>
  </si>
  <si>
    <t>Мероприятие 3.3.3                                                                                       Содержание гидротехнических сооружений КОС-1, 2, водозабор "Ангара"</t>
  </si>
  <si>
    <t>Мероприятие 3.4.2                                                                          Услуги по сопровождению программного обеспечения</t>
  </si>
  <si>
    <t>Дума города Усолье-Сибирское</t>
  </si>
  <si>
    <t xml:space="preserve">Комитет экономического развития администрации города </t>
  </si>
  <si>
    <t>Комитет по финансам администрации города, отдел внутреннего муниципального финансового контроля и контроля в сфере закупок администрации города Усолье-Сибирское</t>
  </si>
  <si>
    <t>Экономический отдел комитета экономического развития администрации города</t>
  </si>
  <si>
    <t xml:space="preserve">Основное мероприятие 4.9
Предоставление грантов на реализацию проектов бюджетных инициатив, направленных на решение вопросов местного значения муниципального образования "город Усолье-Сибирское"
</t>
  </si>
  <si>
    <t>Областной бюджет</t>
  </si>
  <si>
    <t>Объем финансирования , руб.</t>
  </si>
  <si>
    <t>МКУ "Городское управление капитального строительства"</t>
  </si>
  <si>
    <t>Мероприятие 3.3.4                                                                                       Проектно-сметная документация по ремонту здания для размещения кабинета врача</t>
  </si>
  <si>
    <t>Мероприятие 3.1.4                                                               Размещение информационных сообщений в СМИ</t>
  </si>
  <si>
    <t>Мероприятие 3.3.6                                                                                       Обследование технического состояния муниципальных жилых домов</t>
  </si>
  <si>
    <t>Мероприятие 3.3.5                                                                                       Капитальный ремонт здания по адресу: Иркутская область, г. Усолье-Сибирское, ул. Крупской, д. 38 (ремонт кабинета врача, ремонт систем инженерно-технического обеспечения)</t>
  </si>
  <si>
    <t>"Приложение 3</t>
  </si>
  <si>
    <t xml:space="preserve">Ресурсное обеспечение реализации муниципальной программы города Усолье-Сибирское </t>
  </si>
  <si>
    <t>Ответственный исполнитель Программы, соисполнители Программы, участники Программы, участники подпрограммы</t>
  </si>
  <si>
    <t>Наименование Программы, подпрограммы, основного мероприятия, мероприятия, проекта</t>
  </si>
  <si>
    <t>Мероприятие 4.3.6                                                                                        Разработка документации для участия во Всероссийском конкурсе лучших проектов создания комфортной среды в категории "малые города"</t>
  </si>
  <si>
    <t xml:space="preserve"> МКУ "Городское управление капитального строительства"</t>
  </si>
  <si>
    <t>Основное мероприятие 4.11. Содержание МКУ "Централизованная бухгалтерия города Усолье-Сибирское"</t>
  </si>
  <si>
    <t>Основное мероприятие 4.10. Содержание МКУ «Городское управление капитального строительства»</t>
  </si>
  <si>
    <t xml:space="preserve">Основное мероприятие 4.12. Субсидии на реализацию мероприятий перечня проектов народных инициатив </t>
  </si>
  <si>
    <t>Основное мероприятие 1.3                                                   Управление муниципальным долгом города Усолье-Сибирское и его обслуживание</t>
  </si>
  <si>
    <t>Мероприятие  3.2.1                                                              Обеспечение полноты зарегистрированных прав муниципального образования  "город Усолье-Сибирское" на земельные участки, расположенные на территории муниципального образования "город Усолье-Сибирское", государственная собственность на которые не разграничена, земельные участки под объектами</t>
  </si>
  <si>
    <t>Мероприятие 4.3.5                                                                                        Разработка проекта планировки и проекта межевания территории линейного объекта "Водоснабжение ул. Российской и Ленинградской, Иркутской области г. Усолье-Сибирское"</t>
  </si>
  <si>
    <t>Мероприятие 3.1.11                                              Организация доставки имущества (трамваев)</t>
  </si>
  <si>
    <t xml:space="preserve">Основное мероприятие 4.14
Предоставление субсидии на возмещение части затрат в связи с оказанием услуг по организации питания в муниципальных общеобразовательных учреждениях города Усолье-Сибирское
</t>
  </si>
  <si>
    <t xml:space="preserve">Основное мероприятие 4.13
Организация и проведение конкурса "Мы помним - мы гордимся"
</t>
  </si>
  <si>
    <t xml:space="preserve">Мероприятие 3.4.3                                                                        Повышение квалификации сотрудников комитета по управлению муниципальным имуществом, проведение специальной оценки условий труда </t>
  </si>
  <si>
    <t xml:space="preserve">Основное мероприятие 4.15
Содержание объектов недвижимого имущества, находящихся в собственности муниципальных образований Иркутской области и расположенных на территориях, которые подверглись загрязнению в результате экономической деятельности, связанной с производством химической продукции
</t>
  </si>
  <si>
    <t>Мероприятие 3.1.12.                                                          Приобретение технологического оборудования</t>
  </si>
  <si>
    <t>Мероприятие 4.3.4                                                                                       актуализация программы комплексного развития социальной инфраструктуры муниципального образования города Усолье-Сибирское на 2012-2025 гг. по состоянию на 2021-2022 гг.</t>
  </si>
  <si>
    <t xml:space="preserve">Основное мероприятие 4.9
Реализация инициативных проектов на территории муниципального образования «город Усолье-Сибирское»
</t>
  </si>
  <si>
    <t>Мероприятие 3.1.13.                                                          Приобретение материальных запасов</t>
  </si>
  <si>
    <t>Мероприятие 3.3.8                             Переустройство, перепланировка нежилого помещения по адресу: г. Усолье-Сибирское, пр-т Космонавтов,32</t>
  </si>
  <si>
    <t>Мероприятие 4.4.5                                                Фото, видео сопровождение реализации национальных проектов на территории МО</t>
  </si>
  <si>
    <t>Мероприятие 3.3.9                                      Охрана электрооборудования, расположенного на территории промышленной площадки "Усольехимпорм"</t>
  </si>
  <si>
    <t xml:space="preserve">                            к муниципальной программе города Усолье-Сибирское</t>
  </si>
  <si>
    <t xml:space="preserve">                        "Совершенствование муниципального регулирования"</t>
  </si>
  <si>
    <t>Мероприятие 3.1.14 Разработка проектов по демонтажу аварийных объектов</t>
  </si>
  <si>
    <t>Мероприятие 3.1.15 Мероприятие по приобретение информационных баннеров</t>
  </si>
  <si>
    <t>Администрация города Усолье-Сибирское, Комитет по управлению муниципальным имуществом администрации города, Комитет по финансам администрации города Усолье-Сибирское</t>
  </si>
  <si>
    <t>Комитет по финансам администрации города Усолье-Сибирское</t>
  </si>
  <si>
    <t>Основное мероприятие 4.16 Поощрение муниципальных управленческих команд в 2021 году</t>
  </si>
  <si>
    <t>Комитет по управлению муниципальным имуществом администрации города Усолье-Сибирское</t>
  </si>
  <si>
    <t>Мероприятие 3.3.7                                                                                       Ремонт фасада здания Усольского городского совета ветеранов, по адресу: ул. Молотовая,92; ремонт нежилого помещения по адресу: пр-кт Космонавтов,32</t>
  </si>
  <si>
    <t xml:space="preserve">Администрация города Усолье-Сибирское,                          Дума города Усолье-Сибирское                               </t>
  </si>
  <si>
    <t xml:space="preserve">Администрация города Усолье-Сибирское,                          Дума города Усолье-Сибирское                 </t>
  </si>
  <si>
    <t xml:space="preserve">Администрация города Усолье-Сибирское,                          Дума города Усолье-Сибирское                           </t>
  </si>
  <si>
    <t>Отдел по благоустройству и экологии комитета по городскому хозяйству администрации города</t>
  </si>
  <si>
    <t>Основное мероприятие 4.17. Организация регулярных перевозок пассажиров и багажа наземным транспортом по регулируемым тарифам в границах города Усолье-Сибирское</t>
  </si>
  <si>
    <t>на 2019-2025 годы</t>
  </si>
  <si>
    <r>
      <t xml:space="preserve">"Совершенствование муниципального регулирования" на 2019-2025 годы  </t>
    </r>
    <r>
      <rPr>
        <sz val="16"/>
        <color theme="1"/>
        <rFont val="Times New Roman"/>
        <family val="1"/>
        <charset val="204"/>
      </rPr>
      <t>(далее - Программа)</t>
    </r>
  </si>
  <si>
    <t xml:space="preserve">Муниципальная программа города Усолье-Сибирское "Совершенствование муниципального регулирования"                                                     на 2019-2025 годы </t>
  </si>
  <si>
    <t>2025 год</t>
  </si>
  <si>
    <t>Мероприятие 3.3.10 Приобретение и установка пожарной сигнализации по адресу: Молотовая 92</t>
  </si>
  <si>
    <t>Подпрограмма 1 "Управление муниципальными финансами города Усолье-Сибирское"                                                                                              на 2019-2025 годы</t>
  </si>
  <si>
    <t>Подпрограмма 2 "Повышение эффективности бюджетных расходов города Усолье-Сибирское"                                         на 2019-2025 годы</t>
  </si>
  <si>
    <t>Подпрограмма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2019-2025 годы</t>
  </si>
  <si>
    <t>Подпрограмма 4 "Совершенствование муниципального управления города Усолье-Сибирское" на 2019-2025 годы</t>
  </si>
  <si>
    <t>Мероприятие 4.3.7 Разработка проектной документации по объекту "Концепция благоустройства ул. Интернациональной "Город из трамвайного окна" в г. Усолье-Сибирское</t>
  </si>
  <si>
    <t>Мероприятие 3.2.3                                                               Снос самовольных построек</t>
  </si>
  <si>
    <t>Админитсрация города Усолье-Сибирское</t>
  </si>
  <si>
    <t>Мероприятие 3.1.16  Инженерное обследование строительных конструкций защитного сооружения гражданской обороны, расположенного по адресу г.Усолье-Сибирское ул.Лермонтова, 2А</t>
  </si>
  <si>
    <t>Основное мероприятие 4.19.Реализация инициативных проектов, выдвигаемых для получения финансовой поддержки из бюджета Иркутской области</t>
  </si>
  <si>
    <t>Основное мероприятие 4.20 Мероприятие по вручению знака за педагогическую доблесть</t>
  </si>
  <si>
    <t>Мэр города                                                                         М.В.Торопкин</t>
  </si>
  <si>
    <t xml:space="preserve">Мероприятие 4.3.2                                                                                       Актуализация/разработка программы комплексного развития коммунальной инфраструктуры муниципального образования «город Усолье-Сибирское» </t>
  </si>
  <si>
    <t>Основное мероприятие 4.18. Содержание комитета по городскому хозяйству администрации города</t>
  </si>
  <si>
    <t>Мероприятие 4.3.3                                                                                       Актуализация/разработка комплексной системы организации дорожного движения, комплексной схемы организации транспортного обслуживания, программы комплексного развития транспортной инфраструктуры, проекта "Организация дорожного движения на автомобильных дорогах местного значения" муниципального образования "город Усолье-Сибирское"</t>
  </si>
  <si>
    <t>Мероприятие 3.3.11 Ремонт крыльца здания Совета ветеранов, г.Усолье-Сибирское, Молотовая,92.</t>
  </si>
  <si>
    <t>Мероприятие 3.1.17 Приобретение подвижного состава пассажирского транспорта общего пользования</t>
  </si>
  <si>
    <t>Отдел по жизнеобеспечению комитета по городскому хозяйству администрации города</t>
  </si>
  <si>
    <t>Отдел по благоустройству и экологии комитета по городскому хозяйству  администрации города</t>
  </si>
  <si>
    <t>всего</t>
  </si>
  <si>
    <t>Мероприятие 4.4.3
Информационное сопровождение деятельности органов местного самоуправления города в электронных СМИ (ТВ) ) и (или) социальных сетях, видеохостингах и госпабликах</t>
  </si>
  <si>
    <t xml:space="preserve">            Приложение 1</t>
  </si>
  <si>
    <t xml:space="preserve">    к постановлению администрации города</t>
  </si>
  <si>
    <t xml:space="preserve">                             от ______ 2023 г. _____ №</t>
  </si>
  <si>
    <t xml:space="preserve">                                           Усолье-Сибирское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</si>
</sst>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3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 vertical="center" wrapText="1"/>
    </xf>
    <xf numFmtId="0" fontId="0" fillId="0" borderId="0" xfId="0" applyFill="1"/>
    <xf numFmtId="0" fontId="8" fillId="0" borderId="0" xfId="0" applyFont="1" applyFill="1"/>
    <xf numFmtId="4" fontId="12" fillId="0" borderId="1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" fontId="0" fillId="0" borderId="0" xfId="0" applyNumberFormat="1" applyFill="1"/>
    <xf numFmtId="4" fontId="12" fillId="0" borderId="1" xfId="0" applyNumberFormat="1" applyFont="1" applyFill="1" applyBorder="1" applyAlignment="1">
      <alignment horizontal="right" vertical="center" wrapText="1"/>
    </xf>
    <xf numFmtId="4" fontId="10" fillId="0" borderId="1" xfId="0" applyNumberFormat="1" applyFont="1" applyFill="1" applyBorder="1" applyAlignment="1">
      <alignment horizontal="right" vertical="center" wrapText="1"/>
    </xf>
    <xf numFmtId="4" fontId="9" fillId="0" borderId="1" xfId="0" applyNumberFormat="1" applyFont="1" applyFill="1" applyBorder="1" applyAlignment="1">
      <alignment horizontal="right" vertical="center" wrapText="1"/>
    </xf>
    <xf numFmtId="4" fontId="10" fillId="0" borderId="1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vertical="center" wrapText="1"/>
    </xf>
    <xf numFmtId="0" fontId="3" fillId="0" borderId="22" xfId="0" applyFont="1" applyFill="1" applyBorder="1" applyAlignment="1">
      <alignment horizontal="center" vertical="center" wrapText="1"/>
    </xf>
    <xf numFmtId="4" fontId="12" fillId="0" borderId="0" xfId="0" applyNumberFormat="1" applyFont="1" applyFill="1" applyBorder="1" applyAlignment="1">
      <alignment horizontal="right" vertical="center"/>
    </xf>
    <xf numFmtId="0" fontId="3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4" fontId="12" fillId="0" borderId="0" xfId="0" applyNumberFormat="1" applyFont="1" applyFill="1" applyBorder="1" applyAlignment="1">
      <alignment horizontal="right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3" fillId="0" borderId="13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top" wrapText="1"/>
    </xf>
    <xf numFmtId="0" fontId="3" fillId="0" borderId="13" xfId="0" applyFont="1" applyFill="1" applyBorder="1" applyAlignment="1">
      <alignment horizontal="center" vertical="top" wrapText="1"/>
    </xf>
    <xf numFmtId="0" fontId="3" fillId="0" borderId="18" xfId="0" applyFont="1" applyFill="1" applyBorder="1" applyAlignment="1">
      <alignment horizontal="center" vertical="top" wrapText="1"/>
    </xf>
    <xf numFmtId="0" fontId="3" fillId="0" borderId="28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8" fillId="0" borderId="0" xfId="0" applyFont="1" applyFill="1" applyAlignment="1">
      <alignment horizontal="center"/>
    </xf>
    <xf numFmtId="4" fontId="10" fillId="0" borderId="1" xfId="0" applyNumberFormat="1" applyFont="1" applyFill="1" applyBorder="1" applyAlignment="1">
      <alignment horizontal="right" vertical="top"/>
    </xf>
    <xf numFmtId="0" fontId="3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/>
    </xf>
    <xf numFmtId="0" fontId="14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4" fontId="9" fillId="0" borderId="1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center" vertical="top" wrapText="1"/>
    </xf>
    <xf numFmtId="0" fontId="1" fillId="0" borderId="26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1" fillId="0" borderId="32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top" wrapText="1"/>
    </xf>
    <xf numFmtId="0" fontId="3" fillId="0" borderId="33" xfId="0" applyFont="1" applyFill="1" applyBorder="1" applyAlignment="1">
      <alignment horizontal="center" vertical="top" wrapText="1"/>
    </xf>
    <xf numFmtId="0" fontId="1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top" wrapText="1"/>
    </xf>
    <xf numFmtId="0" fontId="3" fillId="0" borderId="14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Z145"/>
  <sheetViews>
    <sheetView tabSelected="1" topLeftCell="A69" zoomScale="51" zoomScaleNormal="51" zoomScaleSheetLayoutView="70" workbookViewId="0">
      <selection activeCell="H81" sqref="H81"/>
    </sheetView>
  </sheetViews>
  <sheetFormatPr defaultColWidth="9.109375" defaultRowHeight="14.4" outlineLevelRow="1" x14ac:dyDescent="0.3"/>
  <cols>
    <col min="1" max="1" width="52.6640625" style="42" customWidth="1"/>
    <col min="2" max="2" width="31" style="4" customWidth="1"/>
    <col min="3" max="3" width="26.33203125" style="4" customWidth="1"/>
    <col min="4" max="4" width="26.33203125" style="17" customWidth="1"/>
    <col min="5" max="7" width="25.6640625" style="17" customWidth="1"/>
    <col min="8" max="8" width="25.109375" style="17" customWidth="1"/>
    <col min="9" max="10" width="25.6640625" style="17" customWidth="1"/>
    <col min="11" max="11" width="25.6640625" style="21" customWidth="1"/>
    <col min="12" max="14" width="9.109375" style="4"/>
    <col min="15" max="16" width="16.33203125" style="4" bestFit="1" customWidth="1"/>
    <col min="17" max="17" width="12" style="4" bestFit="1" customWidth="1"/>
    <col min="18" max="16384" width="9.109375" style="4"/>
  </cols>
  <sheetData>
    <row r="1" spans="1:11" x14ac:dyDescent="0.3">
      <c r="H1" s="18"/>
      <c r="I1" s="59"/>
      <c r="J1" s="59"/>
      <c r="K1" s="59"/>
    </row>
    <row r="2" spans="1:11" ht="18" outlineLevel="1" x14ac:dyDescent="0.3">
      <c r="G2" s="16"/>
      <c r="J2" s="18"/>
      <c r="K2" s="60" t="s">
        <v>137</v>
      </c>
    </row>
    <row r="3" spans="1:11" ht="18" outlineLevel="1" x14ac:dyDescent="0.3">
      <c r="G3" s="16"/>
      <c r="J3" s="60" t="s">
        <v>138</v>
      </c>
      <c r="K3" s="59"/>
    </row>
    <row r="4" spans="1:11" ht="18" outlineLevel="1" x14ac:dyDescent="0.3">
      <c r="G4" s="16"/>
      <c r="J4" s="93" t="s">
        <v>140</v>
      </c>
      <c r="K4" s="93"/>
    </row>
    <row r="5" spans="1:11" ht="18" outlineLevel="1" x14ac:dyDescent="0.3">
      <c r="G5" s="16"/>
      <c r="H5" s="4"/>
      <c r="I5" s="4"/>
      <c r="J5" s="93" t="s">
        <v>139</v>
      </c>
      <c r="K5" s="93"/>
    </row>
    <row r="6" spans="1:11" ht="18" outlineLevel="1" x14ac:dyDescent="0.3">
      <c r="G6" s="16"/>
      <c r="H6" s="61"/>
      <c r="I6" s="62"/>
      <c r="J6" s="94" t="s">
        <v>74</v>
      </c>
      <c r="K6" s="94"/>
    </row>
    <row r="7" spans="1:11" ht="18" outlineLevel="1" x14ac:dyDescent="0.3">
      <c r="G7" s="16"/>
      <c r="H7" s="94" t="s">
        <v>98</v>
      </c>
      <c r="I7" s="94"/>
      <c r="J7" s="94"/>
      <c r="K7" s="94"/>
    </row>
    <row r="8" spans="1:11" ht="18" outlineLevel="1" x14ac:dyDescent="0.3">
      <c r="G8" s="16"/>
      <c r="H8" s="94" t="s">
        <v>99</v>
      </c>
      <c r="I8" s="94"/>
      <c r="J8" s="94"/>
      <c r="K8" s="94"/>
    </row>
    <row r="9" spans="1:11" ht="28.2" customHeight="1" outlineLevel="1" x14ac:dyDescent="0.3">
      <c r="G9" s="16"/>
      <c r="H9" s="61"/>
      <c r="I9" s="94" t="s">
        <v>112</v>
      </c>
      <c r="J9" s="94"/>
      <c r="K9" s="94"/>
    </row>
    <row r="10" spans="1:11" ht="30" customHeight="1" x14ac:dyDescent="0.3">
      <c r="A10" s="110" t="s">
        <v>75</v>
      </c>
      <c r="B10" s="110"/>
      <c r="C10" s="110"/>
      <c r="D10" s="110"/>
      <c r="E10" s="110"/>
      <c r="F10" s="110"/>
      <c r="G10" s="110"/>
      <c r="H10" s="110"/>
      <c r="I10" s="110"/>
      <c r="J10" s="110"/>
      <c r="K10" s="110"/>
    </row>
    <row r="11" spans="1:11" ht="30" customHeight="1" x14ac:dyDescent="0.3">
      <c r="A11" s="110" t="s">
        <v>113</v>
      </c>
      <c r="B11" s="110"/>
      <c r="C11" s="110"/>
      <c r="D11" s="110"/>
      <c r="E11" s="110"/>
      <c r="F11" s="110"/>
      <c r="G11" s="110"/>
      <c r="H11" s="110"/>
      <c r="I11" s="110"/>
      <c r="J11" s="110"/>
      <c r="K11" s="110"/>
    </row>
    <row r="12" spans="1:11" ht="18" x14ac:dyDescent="0.3">
      <c r="G12" s="16"/>
      <c r="K12" s="18"/>
    </row>
    <row r="13" spans="1:11" ht="48.75" customHeight="1" thickBot="1" x14ac:dyDescent="0.35">
      <c r="A13" s="69" t="s">
        <v>77</v>
      </c>
      <c r="B13" s="77" t="s">
        <v>76</v>
      </c>
      <c r="C13" s="77" t="s">
        <v>0</v>
      </c>
      <c r="D13" s="82" t="s">
        <v>1</v>
      </c>
      <c r="E13" s="72" t="s">
        <v>68</v>
      </c>
      <c r="F13" s="73"/>
      <c r="G13" s="73"/>
      <c r="H13" s="73"/>
      <c r="I13" s="73"/>
      <c r="J13" s="73"/>
      <c r="K13" s="74"/>
    </row>
    <row r="14" spans="1:11" ht="48.75" customHeight="1" x14ac:dyDescent="0.3">
      <c r="A14" s="70"/>
      <c r="B14" s="78"/>
      <c r="C14" s="78"/>
      <c r="D14" s="83"/>
      <c r="E14" s="80" t="s">
        <v>45</v>
      </c>
      <c r="F14" s="67" t="s">
        <v>44</v>
      </c>
      <c r="G14" s="65" t="s">
        <v>48</v>
      </c>
      <c r="H14" s="65" t="s">
        <v>49</v>
      </c>
      <c r="I14" s="65" t="s">
        <v>50</v>
      </c>
      <c r="J14" s="65" t="s">
        <v>51</v>
      </c>
      <c r="K14" s="75" t="s">
        <v>115</v>
      </c>
    </row>
    <row r="15" spans="1:11" ht="48.6" customHeight="1" thickBot="1" x14ac:dyDescent="0.35">
      <c r="A15" s="71"/>
      <c r="B15" s="79"/>
      <c r="C15" s="79"/>
      <c r="D15" s="84"/>
      <c r="E15" s="81"/>
      <c r="F15" s="68"/>
      <c r="G15" s="66"/>
      <c r="H15" s="66"/>
      <c r="I15" s="66"/>
      <c r="J15" s="66"/>
      <c r="K15" s="76"/>
    </row>
    <row r="16" spans="1:11" ht="39.75" customHeight="1" x14ac:dyDescent="0.3">
      <c r="A16" s="85" t="s">
        <v>114</v>
      </c>
      <c r="B16" s="104" t="s">
        <v>63</v>
      </c>
      <c r="C16" s="12" t="s">
        <v>46</v>
      </c>
      <c r="D16" s="63">
        <f>D17+D18</f>
        <v>2021567360.1099997</v>
      </c>
      <c r="E16" s="63">
        <f>E17+E18</f>
        <v>179894561</v>
      </c>
      <c r="F16" s="63">
        <f t="shared" ref="F16:H16" si="0">F17+F18</f>
        <v>232113667.27000004</v>
      </c>
      <c r="G16" s="63">
        <f t="shared" si="0"/>
        <v>275289307.80999994</v>
      </c>
      <c r="H16" s="63">
        <f t="shared" si="0"/>
        <v>303454821.01999998</v>
      </c>
      <c r="I16" s="63">
        <f>I17+I18</f>
        <v>357384609.46000004</v>
      </c>
      <c r="J16" s="63">
        <f t="shared" ref="J16:K16" si="1">J17+J18</f>
        <v>310061228.46000004</v>
      </c>
      <c r="K16" s="63">
        <f t="shared" si="1"/>
        <v>363369165.09000003</v>
      </c>
    </row>
    <row r="17" spans="1:15" ht="39.75" customHeight="1" x14ac:dyDescent="0.3">
      <c r="A17" s="70"/>
      <c r="B17" s="105"/>
      <c r="C17" s="32" t="s">
        <v>6</v>
      </c>
      <c r="D17" s="63">
        <f t="shared" ref="D17:H17" si="2">D19+D26+D78</f>
        <v>1972963324.9199996</v>
      </c>
      <c r="E17" s="63">
        <f t="shared" si="2"/>
        <v>176322455.11000001</v>
      </c>
      <c r="F17" s="63">
        <f t="shared" si="2"/>
        <v>225291637.97000003</v>
      </c>
      <c r="G17" s="63">
        <f t="shared" si="2"/>
        <v>271052007.80999994</v>
      </c>
      <c r="H17" s="63">
        <f t="shared" si="2"/>
        <v>303454821.01999998</v>
      </c>
      <c r="I17" s="63">
        <f>I19+I26+I78</f>
        <v>346704609.46000004</v>
      </c>
      <c r="J17" s="63">
        <f t="shared" ref="J17:K17" si="3">J19+J26+J78</f>
        <v>298414928.46000004</v>
      </c>
      <c r="K17" s="63">
        <f t="shared" si="3"/>
        <v>351722865.09000003</v>
      </c>
    </row>
    <row r="18" spans="1:15" ht="39.75" customHeight="1" x14ac:dyDescent="0.3">
      <c r="A18" s="86"/>
      <c r="B18" s="106"/>
      <c r="C18" s="32" t="s">
        <v>67</v>
      </c>
      <c r="D18" s="63">
        <f t="shared" ref="D18:K18" si="4">D27+D79</f>
        <v>48604035.189999998</v>
      </c>
      <c r="E18" s="63">
        <f t="shared" si="4"/>
        <v>3572105.89</v>
      </c>
      <c r="F18" s="63">
        <f t="shared" si="4"/>
        <v>6822029.2999999998</v>
      </c>
      <c r="G18" s="63">
        <f t="shared" si="4"/>
        <v>4237300</v>
      </c>
      <c r="H18" s="63">
        <f t="shared" si="4"/>
        <v>0</v>
      </c>
      <c r="I18" s="63">
        <f t="shared" si="4"/>
        <v>10680000</v>
      </c>
      <c r="J18" s="63">
        <f t="shared" si="4"/>
        <v>11646300</v>
      </c>
      <c r="K18" s="63">
        <f t="shared" si="4"/>
        <v>11646300</v>
      </c>
    </row>
    <row r="19" spans="1:15" s="10" customFormat="1" ht="72.599999999999994" customHeight="1" x14ac:dyDescent="0.3">
      <c r="A19" s="13" t="s">
        <v>117</v>
      </c>
      <c r="B19" s="11" t="s">
        <v>41</v>
      </c>
      <c r="C19" s="11" t="s">
        <v>6</v>
      </c>
      <c r="D19" s="63">
        <f>D20+D22</f>
        <v>117508237.54999998</v>
      </c>
      <c r="E19" s="63">
        <f t="shared" ref="E19:K19" si="5">E20+E22</f>
        <v>11125093.779999999</v>
      </c>
      <c r="F19" s="63">
        <f t="shared" si="5"/>
        <v>13072575.51</v>
      </c>
      <c r="G19" s="63">
        <f t="shared" si="5"/>
        <v>15272213.17</v>
      </c>
      <c r="H19" s="63">
        <f t="shared" si="5"/>
        <v>17812379.149999999</v>
      </c>
      <c r="I19" s="63">
        <f t="shared" si="5"/>
        <v>19903859.960000001</v>
      </c>
      <c r="J19" s="63">
        <f t="shared" si="5"/>
        <v>20161057.989999998</v>
      </c>
      <c r="K19" s="63">
        <f t="shared" si="5"/>
        <v>20161057.989999998</v>
      </c>
    </row>
    <row r="20" spans="1:15" ht="82.2" customHeight="1" x14ac:dyDescent="0.3">
      <c r="A20" s="43" t="s">
        <v>9</v>
      </c>
      <c r="B20" s="1" t="s">
        <v>41</v>
      </c>
      <c r="C20" s="1" t="s">
        <v>6</v>
      </c>
      <c r="D20" s="24">
        <f>E20+F20+G20+H20+I20+J20+K20</f>
        <v>114415512.17999998</v>
      </c>
      <c r="E20" s="63">
        <v>11039960.58</v>
      </c>
      <c r="F20" s="24">
        <f>12734649.51+186313.35</f>
        <v>12920962.859999999</v>
      </c>
      <c r="G20" s="24">
        <f>12734649.51+2429860.25</f>
        <v>15164509.76</v>
      </c>
      <c r="H20" s="24">
        <f>15315461.54+1592673.91+325500</f>
        <v>17233635.449999999</v>
      </c>
      <c r="I20" s="24">
        <v>19734327.550000001</v>
      </c>
      <c r="J20" s="24">
        <v>19161057.989999998</v>
      </c>
      <c r="K20" s="24">
        <v>19161057.989999998</v>
      </c>
      <c r="O20" s="22"/>
    </row>
    <row r="21" spans="1:15" ht="80.25" customHeight="1" x14ac:dyDescent="0.3">
      <c r="A21" s="43" t="s">
        <v>10</v>
      </c>
      <c r="B21" s="1" t="s">
        <v>41</v>
      </c>
      <c r="C21" s="1" t="s">
        <v>6</v>
      </c>
      <c r="D21" s="6" t="s">
        <v>7</v>
      </c>
      <c r="E21" s="6" t="s">
        <v>7</v>
      </c>
      <c r="F21" s="6" t="s">
        <v>7</v>
      </c>
      <c r="G21" s="6" t="s">
        <v>7</v>
      </c>
      <c r="H21" s="6" t="s">
        <v>7</v>
      </c>
      <c r="I21" s="6" t="s">
        <v>7</v>
      </c>
      <c r="J21" s="6" t="s">
        <v>7</v>
      </c>
      <c r="K21" s="19" t="s">
        <v>7</v>
      </c>
    </row>
    <row r="22" spans="1:15" ht="75.75" customHeight="1" x14ac:dyDescent="0.3">
      <c r="A22" s="43" t="s">
        <v>83</v>
      </c>
      <c r="B22" s="1" t="s">
        <v>41</v>
      </c>
      <c r="C22" s="1" t="s">
        <v>6</v>
      </c>
      <c r="D22" s="24">
        <f>E22+F22+G22+H22+I22+J22+K22</f>
        <v>3092725.37</v>
      </c>
      <c r="E22" s="24">
        <f>376122.2-140000-150989</f>
        <v>85133.200000000012</v>
      </c>
      <c r="F22" s="24">
        <f>506122.2-45000-128247.67-181261.88</f>
        <v>151612.65000000002</v>
      </c>
      <c r="G22" s="24">
        <f>450000+1388789.04-500000-232280-45573.33-220000-733232.3</f>
        <v>107703.40999999992</v>
      </c>
      <c r="H22" s="24">
        <f>948743.7-70000-300000</f>
        <v>578743.69999999995</v>
      </c>
      <c r="I22" s="24">
        <f>256664.76-87132.35</f>
        <v>169532.41</v>
      </c>
      <c r="J22" s="24">
        <v>1000000</v>
      </c>
      <c r="K22" s="24">
        <v>1000000</v>
      </c>
    </row>
    <row r="23" spans="1:15" ht="187.2" customHeight="1" x14ac:dyDescent="0.3">
      <c r="A23" s="43" t="s">
        <v>33</v>
      </c>
      <c r="B23" s="1" t="s">
        <v>64</v>
      </c>
      <c r="C23" s="1" t="s">
        <v>6</v>
      </c>
      <c r="D23" s="6" t="s">
        <v>7</v>
      </c>
      <c r="E23" s="6" t="s">
        <v>7</v>
      </c>
      <c r="F23" s="6" t="s">
        <v>7</v>
      </c>
      <c r="G23" s="6" t="s">
        <v>7</v>
      </c>
      <c r="H23" s="6" t="s">
        <v>7</v>
      </c>
      <c r="I23" s="6" t="s">
        <v>7</v>
      </c>
      <c r="J23" s="6" t="s">
        <v>7</v>
      </c>
      <c r="K23" s="19" t="s">
        <v>7</v>
      </c>
    </row>
    <row r="24" spans="1:15" ht="82.5" customHeight="1" x14ac:dyDescent="0.3">
      <c r="A24" s="13" t="s">
        <v>118</v>
      </c>
      <c r="B24" s="11" t="s">
        <v>41</v>
      </c>
      <c r="C24" s="11" t="s">
        <v>6</v>
      </c>
      <c r="D24" s="6" t="s">
        <v>7</v>
      </c>
      <c r="E24" s="6" t="s">
        <v>7</v>
      </c>
      <c r="F24" s="6" t="s">
        <v>7</v>
      </c>
      <c r="G24" s="6" t="s">
        <v>7</v>
      </c>
      <c r="H24" s="6" t="s">
        <v>7</v>
      </c>
      <c r="I24" s="6" t="s">
        <v>7</v>
      </c>
      <c r="J24" s="6" t="s">
        <v>7</v>
      </c>
      <c r="K24" s="19" t="s">
        <v>7</v>
      </c>
    </row>
    <row r="25" spans="1:15" ht="42" customHeight="1" x14ac:dyDescent="0.3">
      <c r="A25" s="69" t="s">
        <v>119</v>
      </c>
      <c r="B25" s="77" t="s">
        <v>5</v>
      </c>
      <c r="C25" s="32" t="s">
        <v>46</v>
      </c>
      <c r="D25" s="25">
        <f>D26+D27</f>
        <v>252751834.69</v>
      </c>
      <c r="E25" s="25">
        <f t="shared" ref="E25:K25" si="6">E26+E27</f>
        <v>25356368.810000002</v>
      </c>
      <c r="F25" s="25">
        <f t="shared" si="6"/>
        <v>29378541.989999998</v>
      </c>
      <c r="G25" s="25">
        <f t="shared" si="6"/>
        <v>30361534.209999997</v>
      </c>
      <c r="H25" s="25">
        <f t="shared" si="6"/>
        <v>32051334.479999997</v>
      </c>
      <c r="I25" s="25">
        <f t="shared" si="6"/>
        <v>58921556.960000001</v>
      </c>
      <c r="J25" s="25">
        <f t="shared" si="6"/>
        <v>38341249.119999997</v>
      </c>
      <c r="K25" s="25">
        <f t="shared" si="6"/>
        <v>38341249.119999997</v>
      </c>
    </row>
    <row r="26" spans="1:15" s="10" customFormat="1" ht="42" customHeight="1" x14ac:dyDescent="0.3">
      <c r="A26" s="70"/>
      <c r="B26" s="78"/>
      <c r="C26" s="32" t="s">
        <v>6</v>
      </c>
      <c r="D26" s="25">
        <f>D29+D50+D55+D72</f>
        <v>238499728.80000001</v>
      </c>
      <c r="E26" s="25">
        <f t="shared" ref="E26:K26" si="7">E29+E50+E55+E72</f>
        <v>21784262.920000002</v>
      </c>
      <c r="F26" s="25">
        <f t="shared" si="7"/>
        <v>29378541.989999998</v>
      </c>
      <c r="G26" s="25">
        <f t="shared" si="7"/>
        <v>30361534.209999997</v>
      </c>
      <c r="H26" s="25">
        <f t="shared" si="7"/>
        <v>32051334.479999997</v>
      </c>
      <c r="I26" s="25">
        <f t="shared" si="7"/>
        <v>48241556.960000001</v>
      </c>
      <c r="J26" s="25">
        <f t="shared" si="7"/>
        <v>38341249.119999997</v>
      </c>
      <c r="K26" s="25">
        <f t="shared" si="7"/>
        <v>38341249.119999997</v>
      </c>
    </row>
    <row r="27" spans="1:15" s="10" customFormat="1" ht="46.95" customHeight="1" x14ac:dyDescent="0.3">
      <c r="A27" s="86"/>
      <c r="B27" s="107"/>
      <c r="C27" s="32" t="s">
        <v>67</v>
      </c>
      <c r="D27" s="25">
        <f>D56+D49</f>
        <v>14252105.890000001</v>
      </c>
      <c r="E27" s="25">
        <f t="shared" ref="E27:K27" si="8">E56+E49</f>
        <v>3572105.89</v>
      </c>
      <c r="F27" s="25">
        <f t="shared" si="8"/>
        <v>0</v>
      </c>
      <c r="G27" s="25">
        <f t="shared" si="8"/>
        <v>0</v>
      </c>
      <c r="H27" s="25">
        <f t="shared" si="8"/>
        <v>0</v>
      </c>
      <c r="I27" s="25">
        <f t="shared" si="8"/>
        <v>10680000</v>
      </c>
      <c r="J27" s="25">
        <f t="shared" si="8"/>
        <v>0</v>
      </c>
      <c r="K27" s="25">
        <f t="shared" si="8"/>
        <v>0</v>
      </c>
    </row>
    <row r="28" spans="1:15" ht="50.4" customHeight="1" x14ac:dyDescent="0.3">
      <c r="A28" s="87" t="s">
        <v>11</v>
      </c>
      <c r="B28" s="97" t="s">
        <v>5</v>
      </c>
      <c r="C28" s="1" t="s">
        <v>135</v>
      </c>
      <c r="D28" s="24">
        <f>D29+D30</f>
        <v>21381300.129999999</v>
      </c>
      <c r="E28" s="24">
        <f t="shared" ref="E28:K28" si="9">E29+E30</f>
        <v>702424.43</v>
      </c>
      <c r="F28" s="24">
        <f t="shared" si="9"/>
        <v>4166754.96</v>
      </c>
      <c r="G28" s="24">
        <f t="shared" si="9"/>
        <v>1862826.48</v>
      </c>
      <c r="H28" s="24">
        <f t="shared" si="9"/>
        <v>940010.91</v>
      </c>
      <c r="I28" s="24">
        <f t="shared" si="9"/>
        <v>13231703.390000001</v>
      </c>
      <c r="J28" s="24">
        <f t="shared" si="9"/>
        <v>319447.76</v>
      </c>
      <c r="K28" s="24">
        <f t="shared" si="9"/>
        <v>158132.20000000001</v>
      </c>
    </row>
    <row r="29" spans="1:15" ht="34.950000000000003" customHeight="1" x14ac:dyDescent="0.3">
      <c r="A29" s="88"/>
      <c r="B29" s="95"/>
      <c r="C29" s="1" t="s">
        <v>6</v>
      </c>
      <c r="D29" s="25">
        <f>D31+D32+D33+D34+D35+D40+D41+D42+D43+D44+D45+D46+D48+D39</f>
        <v>10701300.129999999</v>
      </c>
      <c r="E29" s="24">
        <f t="shared" ref="E29:K29" si="10">E31+E32+E33+E34+E35+E40+E41+E42+E43+E44+E45+E46+E48+E39</f>
        <v>702424.43</v>
      </c>
      <c r="F29" s="24">
        <f t="shared" si="10"/>
        <v>4166754.96</v>
      </c>
      <c r="G29" s="24">
        <f t="shared" si="10"/>
        <v>1862826.48</v>
      </c>
      <c r="H29" s="24">
        <f t="shared" si="10"/>
        <v>940010.91</v>
      </c>
      <c r="I29" s="24">
        <f t="shared" si="10"/>
        <v>2551703.39</v>
      </c>
      <c r="J29" s="24">
        <f t="shared" si="10"/>
        <v>319447.76</v>
      </c>
      <c r="K29" s="24">
        <f t="shared" si="10"/>
        <v>158132.20000000001</v>
      </c>
    </row>
    <row r="30" spans="1:15" ht="34.200000000000003" customHeight="1" x14ac:dyDescent="0.3">
      <c r="A30" s="89"/>
      <c r="B30" s="96"/>
      <c r="C30" s="1" t="s">
        <v>67</v>
      </c>
      <c r="D30" s="24">
        <f>D49</f>
        <v>10680000</v>
      </c>
      <c r="E30" s="24">
        <f t="shared" ref="E30:K30" si="11">E49</f>
        <v>0</v>
      </c>
      <c r="F30" s="24">
        <f t="shared" si="11"/>
        <v>0</v>
      </c>
      <c r="G30" s="24">
        <f t="shared" si="11"/>
        <v>0</v>
      </c>
      <c r="H30" s="24">
        <f t="shared" si="11"/>
        <v>0</v>
      </c>
      <c r="I30" s="24">
        <f t="shared" si="11"/>
        <v>10680000</v>
      </c>
      <c r="J30" s="24">
        <f t="shared" si="11"/>
        <v>0</v>
      </c>
      <c r="K30" s="24">
        <f t="shared" si="11"/>
        <v>0</v>
      </c>
    </row>
    <row r="31" spans="1:15" ht="122.4" customHeight="1" x14ac:dyDescent="0.3">
      <c r="A31" s="43" t="s">
        <v>22</v>
      </c>
      <c r="B31" s="1" t="s">
        <v>5</v>
      </c>
      <c r="C31" s="1" t="s">
        <v>6</v>
      </c>
      <c r="D31" s="24">
        <f>SUM(E31:K31)</f>
        <v>1698805.63</v>
      </c>
      <c r="E31" s="24">
        <v>324848.98</v>
      </c>
      <c r="F31" s="24">
        <f>214900+60000+47586.88</f>
        <v>322486.88</v>
      </c>
      <c r="G31" s="24">
        <f>231116.38+7120.72-2790-75276.13</f>
        <v>160170.97</v>
      </c>
      <c r="H31" s="24">
        <f>155834.14+6000+24000</f>
        <v>185834.14</v>
      </c>
      <c r="I31" s="24">
        <f>175950-99030+239600+272341.64-147321.98</f>
        <v>441539.66000000003</v>
      </c>
      <c r="J31" s="24">
        <v>175950</v>
      </c>
      <c r="K31" s="24">
        <v>87975</v>
      </c>
    </row>
    <row r="32" spans="1:15" ht="85.5" customHeight="1" x14ac:dyDescent="0.3">
      <c r="A32" s="43" t="s">
        <v>54</v>
      </c>
      <c r="B32" s="1" t="s">
        <v>5</v>
      </c>
      <c r="C32" s="1" t="s">
        <v>6</v>
      </c>
      <c r="D32" s="24">
        <f>E32+F32+G32+H32+I32+J32+K32</f>
        <v>1210709.98</v>
      </c>
      <c r="E32" s="24">
        <v>254321.85</v>
      </c>
      <c r="F32" s="24">
        <f>207280-86220.48-25379.81</f>
        <v>95679.71</v>
      </c>
      <c r="G32" s="24">
        <f>233014+250000-130245.36+43265.36</f>
        <v>396034</v>
      </c>
      <c r="H32" s="24">
        <f>156629.7-15800.89+24480.96</f>
        <v>165309.76999999999</v>
      </c>
      <c r="I32" s="24">
        <f>258672+100000-100459.35</f>
        <v>258212.65</v>
      </c>
      <c r="J32" s="24">
        <v>25864</v>
      </c>
      <c r="K32" s="24">
        <v>15288</v>
      </c>
    </row>
    <row r="33" spans="1:11" ht="113.25" customHeight="1" x14ac:dyDescent="0.3">
      <c r="A33" s="43" t="s">
        <v>55</v>
      </c>
      <c r="B33" s="1" t="s">
        <v>5</v>
      </c>
      <c r="C33" s="1" t="s">
        <v>6</v>
      </c>
      <c r="D33" s="24">
        <f>SUM(E33:K33)</f>
        <v>800</v>
      </c>
      <c r="E33" s="24">
        <v>0</v>
      </c>
      <c r="F33" s="24">
        <f>20000-19600</f>
        <v>400</v>
      </c>
      <c r="G33" s="24">
        <f>20000-20000</f>
        <v>0</v>
      </c>
      <c r="H33" s="24">
        <v>400</v>
      </c>
      <c r="I33" s="24">
        <v>0</v>
      </c>
      <c r="J33" s="24">
        <v>0</v>
      </c>
      <c r="K33" s="24">
        <v>0</v>
      </c>
    </row>
    <row r="34" spans="1:11" ht="77.25" customHeight="1" x14ac:dyDescent="0.3">
      <c r="A34" s="43" t="s">
        <v>71</v>
      </c>
      <c r="B34" s="1" t="s">
        <v>5</v>
      </c>
      <c r="C34" s="1" t="s">
        <v>6</v>
      </c>
      <c r="D34" s="24">
        <f>SUM(E34:K34)</f>
        <v>235430.8</v>
      </c>
      <c r="E34" s="24">
        <f>4000*26-28440-6129.2</f>
        <v>69430.8</v>
      </c>
      <c r="F34" s="24">
        <f>156000-116000</f>
        <v>40000</v>
      </c>
      <c r="G34" s="24">
        <f>95640.64-55640.64</f>
        <v>40000</v>
      </c>
      <c r="H34" s="24">
        <f>36000-10000</f>
        <v>26000</v>
      </c>
      <c r="I34" s="24">
        <v>20000</v>
      </c>
      <c r="J34" s="24">
        <v>20000</v>
      </c>
      <c r="K34" s="24">
        <v>20000</v>
      </c>
    </row>
    <row r="35" spans="1:11" ht="79.5" customHeight="1" x14ac:dyDescent="0.3">
      <c r="A35" s="43" t="s">
        <v>23</v>
      </c>
      <c r="B35" s="1" t="s">
        <v>5</v>
      </c>
      <c r="C35" s="1" t="s">
        <v>6</v>
      </c>
      <c r="D35" s="24">
        <f>SUM(E35:J35)</f>
        <v>0</v>
      </c>
      <c r="E35" s="24">
        <f>380462-380462</f>
        <v>0</v>
      </c>
      <c r="F35" s="24">
        <f>380462-380462</f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</row>
    <row r="36" spans="1:11" ht="114" customHeight="1" x14ac:dyDescent="0.3">
      <c r="A36" s="43" t="s">
        <v>24</v>
      </c>
      <c r="B36" s="1" t="s">
        <v>5</v>
      </c>
      <c r="C36" s="1" t="s">
        <v>6</v>
      </c>
      <c r="D36" s="6" t="s">
        <v>7</v>
      </c>
      <c r="E36" s="6" t="s">
        <v>7</v>
      </c>
      <c r="F36" s="6" t="s">
        <v>7</v>
      </c>
      <c r="G36" s="6" t="s">
        <v>7</v>
      </c>
      <c r="H36" s="6" t="s">
        <v>7</v>
      </c>
      <c r="I36" s="6" t="s">
        <v>7</v>
      </c>
      <c r="J36" s="6" t="s">
        <v>7</v>
      </c>
      <c r="K36" s="19" t="s">
        <v>7</v>
      </c>
    </row>
    <row r="37" spans="1:11" ht="158.25" customHeight="1" x14ac:dyDescent="0.3">
      <c r="A37" s="44" t="s">
        <v>31</v>
      </c>
      <c r="B37" s="7" t="s">
        <v>5</v>
      </c>
      <c r="C37" s="1" t="s">
        <v>6</v>
      </c>
      <c r="D37" s="6" t="s">
        <v>7</v>
      </c>
      <c r="E37" s="6" t="s">
        <v>7</v>
      </c>
      <c r="F37" s="6" t="s">
        <v>7</v>
      </c>
      <c r="G37" s="6" t="s">
        <v>7</v>
      </c>
      <c r="H37" s="6" t="s">
        <v>7</v>
      </c>
      <c r="I37" s="6" t="s">
        <v>7</v>
      </c>
      <c r="J37" s="6" t="s">
        <v>7</v>
      </c>
      <c r="K37" s="19" t="s">
        <v>7</v>
      </c>
    </row>
    <row r="38" spans="1:11" ht="100.5" customHeight="1" x14ac:dyDescent="0.3">
      <c r="A38" s="27" t="s">
        <v>30</v>
      </c>
      <c r="B38" s="27" t="s">
        <v>5</v>
      </c>
      <c r="C38" s="14" t="s">
        <v>6</v>
      </c>
      <c r="D38" s="6" t="s">
        <v>7</v>
      </c>
      <c r="E38" s="6" t="s">
        <v>7</v>
      </c>
      <c r="F38" s="6" t="s">
        <v>7</v>
      </c>
      <c r="G38" s="6" t="s">
        <v>7</v>
      </c>
      <c r="H38" s="6" t="s">
        <v>7</v>
      </c>
      <c r="I38" s="6" t="s">
        <v>7</v>
      </c>
      <c r="J38" s="6" t="s">
        <v>7</v>
      </c>
      <c r="K38" s="19" t="s">
        <v>7</v>
      </c>
    </row>
    <row r="39" spans="1:11" ht="85.5" customHeight="1" x14ac:dyDescent="0.3">
      <c r="A39" s="44" t="s">
        <v>56</v>
      </c>
      <c r="B39" s="7" t="s">
        <v>5</v>
      </c>
      <c r="C39" s="1" t="s">
        <v>6</v>
      </c>
      <c r="D39" s="23">
        <f t="shared" ref="D39" si="12">SUM(E39:K39)</f>
        <v>0</v>
      </c>
      <c r="E39" s="9">
        <f>2000*2-4000</f>
        <v>0</v>
      </c>
      <c r="F39" s="9">
        <v>0</v>
      </c>
      <c r="G39" s="9">
        <v>0</v>
      </c>
      <c r="H39" s="9">
        <v>0</v>
      </c>
      <c r="I39" s="19">
        <v>0</v>
      </c>
      <c r="J39" s="19">
        <v>0</v>
      </c>
      <c r="K39" s="19">
        <v>0</v>
      </c>
    </row>
    <row r="40" spans="1:11" ht="76.5" customHeight="1" x14ac:dyDescent="0.3">
      <c r="A40" s="44" t="s">
        <v>57</v>
      </c>
      <c r="B40" s="7" t="s">
        <v>5</v>
      </c>
      <c r="C40" s="1" t="s">
        <v>6</v>
      </c>
      <c r="D40" s="24">
        <f>SUM(E40:K40)</f>
        <v>1016182.3</v>
      </c>
      <c r="E40" s="19">
        <f>10*5382.28</f>
        <v>53822.799999999996</v>
      </c>
      <c r="F40" s="19">
        <f>99572.18+50000-19952.28</f>
        <v>129619.9</v>
      </c>
      <c r="G40" s="19">
        <f>283430.4+55000+3685.16</f>
        <v>342115.56</v>
      </c>
      <c r="H40" s="19">
        <f>96330.26-60.26</f>
        <v>96270</v>
      </c>
      <c r="I40" s="19">
        <f>97633.76+64241.81+99975.51</f>
        <v>261851.08000000002</v>
      </c>
      <c r="J40" s="19">
        <v>97633.76</v>
      </c>
      <c r="K40" s="19">
        <v>34869.199999999997</v>
      </c>
    </row>
    <row r="41" spans="1:11" ht="80.25" customHeight="1" x14ac:dyDescent="0.3">
      <c r="A41" s="44" t="s">
        <v>86</v>
      </c>
      <c r="B41" s="7" t="s">
        <v>5</v>
      </c>
      <c r="C41" s="1" t="s">
        <v>6</v>
      </c>
      <c r="D41" s="24">
        <f t="shared" ref="D41:D46" si="13">SUM(E41:J41)</f>
        <v>2861600</v>
      </c>
      <c r="E41" s="19">
        <v>0</v>
      </c>
      <c r="F41" s="19">
        <f>6823340-2823340-1138400</f>
        <v>2861600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</row>
    <row r="42" spans="1:11" ht="75" customHeight="1" x14ac:dyDescent="0.3">
      <c r="A42" s="44" t="s">
        <v>91</v>
      </c>
      <c r="B42" s="7" t="s">
        <v>5</v>
      </c>
      <c r="C42" s="1" t="s">
        <v>6</v>
      </c>
      <c r="D42" s="24">
        <f t="shared" si="13"/>
        <v>991268.47</v>
      </c>
      <c r="E42" s="19">
        <v>0</v>
      </c>
      <c r="F42" s="19">
        <f>800000-83031.53</f>
        <v>716968.47</v>
      </c>
      <c r="G42" s="19">
        <f>0+274300</f>
        <v>274300</v>
      </c>
      <c r="H42" s="19">
        <v>0</v>
      </c>
      <c r="I42" s="19">
        <v>0</v>
      </c>
      <c r="J42" s="19">
        <v>0</v>
      </c>
      <c r="K42" s="19">
        <v>0</v>
      </c>
    </row>
    <row r="43" spans="1:11" ht="78" customHeight="1" x14ac:dyDescent="0.3">
      <c r="A43" s="44" t="s">
        <v>94</v>
      </c>
      <c r="B43" s="7" t="s">
        <v>5</v>
      </c>
      <c r="C43" s="1" t="s">
        <v>6</v>
      </c>
      <c r="D43" s="24">
        <f t="shared" si="13"/>
        <v>552092.94999999995</v>
      </c>
      <c r="E43" s="19">
        <v>0</v>
      </c>
      <c r="F43" s="19">
        <v>0</v>
      </c>
      <c r="G43" s="19">
        <f>500000-32584.05</f>
        <v>467415.95</v>
      </c>
      <c r="H43" s="19">
        <f>84865-188</f>
        <v>84677</v>
      </c>
      <c r="I43" s="19">
        <v>0</v>
      </c>
      <c r="J43" s="19">
        <v>0</v>
      </c>
      <c r="K43" s="19">
        <v>0</v>
      </c>
    </row>
    <row r="44" spans="1:11" ht="81.75" customHeight="1" x14ac:dyDescent="0.3">
      <c r="A44" s="44" t="s">
        <v>100</v>
      </c>
      <c r="B44" s="7" t="s">
        <v>5</v>
      </c>
      <c r="C44" s="1" t="s">
        <v>6</v>
      </c>
      <c r="D44" s="24">
        <f t="shared" si="13"/>
        <v>610000</v>
      </c>
      <c r="E44" s="19">
        <v>0</v>
      </c>
      <c r="F44" s="19">
        <v>0</v>
      </c>
      <c r="G44" s="19">
        <v>180000</v>
      </c>
      <c r="H44" s="19">
        <v>180000</v>
      </c>
      <c r="I44" s="19">
        <v>250000</v>
      </c>
      <c r="J44" s="19">
        <v>0</v>
      </c>
      <c r="K44" s="19">
        <v>0</v>
      </c>
    </row>
    <row r="45" spans="1:11" ht="85.5" customHeight="1" x14ac:dyDescent="0.3">
      <c r="A45" s="44" t="s">
        <v>101</v>
      </c>
      <c r="B45" s="7" t="s">
        <v>5</v>
      </c>
      <c r="C45" s="1" t="s">
        <v>6</v>
      </c>
      <c r="D45" s="24">
        <f t="shared" si="13"/>
        <v>9340</v>
      </c>
      <c r="E45" s="19">
        <v>0</v>
      </c>
      <c r="F45" s="19">
        <v>0</v>
      </c>
      <c r="G45" s="19">
        <v>2790</v>
      </c>
      <c r="H45" s="19">
        <f>6550</f>
        <v>6550</v>
      </c>
      <c r="I45" s="19">
        <v>0</v>
      </c>
      <c r="J45" s="19">
        <v>0</v>
      </c>
      <c r="K45" s="19">
        <v>0</v>
      </c>
    </row>
    <row r="46" spans="1:11" ht="100.5" customHeight="1" x14ac:dyDescent="0.3">
      <c r="A46" s="44" t="s">
        <v>124</v>
      </c>
      <c r="B46" s="7" t="s">
        <v>5</v>
      </c>
      <c r="C46" s="1" t="s">
        <v>6</v>
      </c>
      <c r="D46" s="24">
        <f t="shared" si="13"/>
        <v>194970</v>
      </c>
      <c r="E46" s="19">
        <v>0</v>
      </c>
      <c r="F46" s="19">
        <v>0</v>
      </c>
      <c r="G46" s="19">
        <v>0</v>
      </c>
      <c r="H46" s="19">
        <f>582000-387030</f>
        <v>194970</v>
      </c>
      <c r="I46" s="19">
        <v>0</v>
      </c>
      <c r="J46" s="19">
        <v>0</v>
      </c>
      <c r="K46" s="19">
        <v>0</v>
      </c>
    </row>
    <row r="47" spans="1:11" ht="62.4" customHeight="1" x14ac:dyDescent="0.3">
      <c r="A47" s="98" t="s">
        <v>132</v>
      </c>
      <c r="B47" s="101" t="s">
        <v>5</v>
      </c>
      <c r="C47" s="1" t="s">
        <v>46</v>
      </c>
      <c r="D47" s="24">
        <f>D48+D49</f>
        <v>12000100</v>
      </c>
      <c r="E47" s="24">
        <f t="shared" ref="E47:K47" si="14">E48+E49</f>
        <v>0</v>
      </c>
      <c r="F47" s="24">
        <f t="shared" si="14"/>
        <v>0</v>
      </c>
      <c r="G47" s="24">
        <f t="shared" si="14"/>
        <v>0</v>
      </c>
      <c r="H47" s="24">
        <f t="shared" si="14"/>
        <v>0</v>
      </c>
      <c r="I47" s="24">
        <f t="shared" si="14"/>
        <v>12000100</v>
      </c>
      <c r="J47" s="24">
        <f t="shared" si="14"/>
        <v>0</v>
      </c>
      <c r="K47" s="24">
        <f t="shared" si="14"/>
        <v>0</v>
      </c>
    </row>
    <row r="48" spans="1:11" ht="64.95" customHeight="1" x14ac:dyDescent="0.3">
      <c r="A48" s="99"/>
      <c r="B48" s="102"/>
      <c r="C48" s="1" t="s">
        <v>6</v>
      </c>
      <c r="D48" s="24">
        <f>SUM(E48:K48)</f>
        <v>1320100</v>
      </c>
      <c r="E48" s="19">
        <v>0</v>
      </c>
      <c r="F48" s="19">
        <v>0</v>
      </c>
      <c r="G48" s="19">
        <v>0</v>
      </c>
      <c r="H48" s="19">
        <v>0</v>
      </c>
      <c r="I48" s="19">
        <v>1320100</v>
      </c>
      <c r="J48" s="19">
        <v>0</v>
      </c>
      <c r="K48" s="19">
        <v>0</v>
      </c>
    </row>
    <row r="49" spans="1:11" ht="46.2" customHeight="1" x14ac:dyDescent="0.3">
      <c r="A49" s="100"/>
      <c r="B49" s="103"/>
      <c r="C49" s="1" t="s">
        <v>67</v>
      </c>
      <c r="D49" s="24">
        <f>SUM(E49:K49)</f>
        <v>10680000</v>
      </c>
      <c r="E49" s="19">
        <v>0</v>
      </c>
      <c r="F49" s="19">
        <v>0</v>
      </c>
      <c r="G49" s="19">
        <v>0</v>
      </c>
      <c r="H49" s="19">
        <v>0</v>
      </c>
      <c r="I49" s="19">
        <v>10680000</v>
      </c>
      <c r="J49" s="19">
        <v>0</v>
      </c>
      <c r="K49" s="19">
        <v>0</v>
      </c>
    </row>
    <row r="50" spans="1:11" ht="78" customHeight="1" x14ac:dyDescent="0.3">
      <c r="A50" s="43" t="s">
        <v>25</v>
      </c>
      <c r="B50" s="1" t="s">
        <v>5</v>
      </c>
      <c r="C50" s="1" t="s">
        <v>46</v>
      </c>
      <c r="D50" s="25">
        <f>D51+D52+D53</f>
        <v>6975259.8999999994</v>
      </c>
      <c r="E50" s="24">
        <f t="shared" ref="E50:K50" si="15">E51+E52+E53</f>
        <v>1059883.27</v>
      </c>
      <c r="F50" s="24">
        <f t="shared" si="15"/>
        <v>526197.83000000031</v>
      </c>
      <c r="G50" s="24">
        <f t="shared" si="15"/>
        <v>438780.2300000001</v>
      </c>
      <c r="H50" s="24">
        <f t="shared" si="15"/>
        <v>1020305.34</v>
      </c>
      <c r="I50" s="25">
        <f t="shared" si="15"/>
        <v>1257953.2299999997</v>
      </c>
      <c r="J50" s="24">
        <f t="shared" si="15"/>
        <v>1696557</v>
      </c>
      <c r="K50" s="24">
        <f t="shared" si="15"/>
        <v>975583</v>
      </c>
    </row>
    <row r="51" spans="1:11" ht="184.5" customHeight="1" x14ac:dyDescent="0.3">
      <c r="A51" s="45" t="s">
        <v>84</v>
      </c>
      <c r="B51" s="1" t="s">
        <v>5</v>
      </c>
      <c r="C51" s="1" t="s">
        <v>6</v>
      </c>
      <c r="D51" s="24">
        <f>SUM(E51:K51)</f>
        <v>6172052.4100000001</v>
      </c>
      <c r="E51" s="24">
        <f>996262.92+1269.19</f>
        <v>997532.11</v>
      </c>
      <c r="F51" s="24">
        <f>6504790-662550-442954.88-2794017-326435.51-916786.74-900000-343.48</f>
        <v>461702.39000000036</v>
      </c>
      <c r="G51" s="24">
        <f>1698511.84-1196110.71-104573.64</f>
        <v>397827.49000000011</v>
      </c>
      <c r="H51" s="24">
        <f>677713.89+996802.3-628000-356313.22+84705.88</f>
        <v>774908.85</v>
      </c>
      <c r="I51" s="24">
        <f>696997.26-329408.15+841052.79-400000-71173.13+364902.8</f>
        <v>1102371.5699999998</v>
      </c>
      <c r="J51" s="24">
        <v>1558657</v>
      </c>
      <c r="K51" s="24">
        <v>879053</v>
      </c>
    </row>
    <row r="52" spans="1:11" ht="84.75" customHeight="1" x14ac:dyDescent="0.3">
      <c r="A52" s="43" t="s">
        <v>58</v>
      </c>
      <c r="B52" s="1" t="s">
        <v>5</v>
      </c>
      <c r="C52" s="1" t="s">
        <v>6</v>
      </c>
      <c r="D52" s="24">
        <f>SUM(E52:K52)</f>
        <v>720787.47</v>
      </c>
      <c r="E52" s="24">
        <f>144500+8696.63-92528.6+1683.13</f>
        <v>62351.159999999996</v>
      </c>
      <c r="F52" s="24">
        <f>144500-36999.07-43005.49</f>
        <v>64495.439999999995</v>
      </c>
      <c r="G52" s="24">
        <f>143002.5-49808.56-52241.2</f>
        <v>40952.740000000005</v>
      </c>
      <c r="H52" s="24">
        <f>146886.4+40000+23832.31-47742.24</f>
        <v>162976.47</v>
      </c>
      <c r="I52" s="24">
        <f>96530+89386.06-30334.4</f>
        <v>155581.66</v>
      </c>
      <c r="J52" s="24">
        <v>137900</v>
      </c>
      <c r="K52" s="24">
        <v>96530</v>
      </c>
    </row>
    <row r="53" spans="1:11" ht="84.75" customHeight="1" thickBot="1" x14ac:dyDescent="0.35">
      <c r="A53" s="29" t="s">
        <v>122</v>
      </c>
      <c r="B53" s="29" t="s">
        <v>5</v>
      </c>
      <c r="C53" s="29" t="s">
        <v>6</v>
      </c>
      <c r="D53" s="24">
        <f>SUM(E53:K53)</f>
        <v>82420.01999999999</v>
      </c>
      <c r="E53" s="24">
        <v>0</v>
      </c>
      <c r="F53" s="24">
        <v>0</v>
      </c>
      <c r="G53" s="24">
        <v>0</v>
      </c>
      <c r="H53" s="24">
        <f>283804.36-201384.34</f>
        <v>82420.01999999999</v>
      </c>
      <c r="I53" s="24">
        <v>0</v>
      </c>
      <c r="J53" s="24">
        <v>0</v>
      </c>
      <c r="K53" s="24">
        <v>0</v>
      </c>
    </row>
    <row r="54" spans="1:11" ht="37.950000000000003" customHeight="1" x14ac:dyDescent="0.3">
      <c r="A54" s="88" t="s">
        <v>12</v>
      </c>
      <c r="B54" s="95" t="s">
        <v>5</v>
      </c>
      <c r="C54" s="56" t="s">
        <v>46</v>
      </c>
      <c r="D54" s="24">
        <f>D55+D56</f>
        <v>54298103.259999998</v>
      </c>
      <c r="E54" s="24">
        <f>E55+E56</f>
        <v>8929994.9000000004</v>
      </c>
      <c r="F54" s="24">
        <f>F55+F56</f>
        <v>5795806.9100000001</v>
      </c>
      <c r="G54" s="24">
        <f t="shared" ref="G54:H54" si="16">G55+G56</f>
        <v>4477014.1199999992</v>
      </c>
      <c r="H54" s="24">
        <f t="shared" si="16"/>
        <v>6186067.6600000001</v>
      </c>
      <c r="I54" s="24">
        <f>I55+I56</f>
        <v>14656863.550000001</v>
      </c>
      <c r="J54" s="24">
        <f t="shared" ref="J54:K54" si="17">J55+J56</f>
        <v>6685033.2799999993</v>
      </c>
      <c r="K54" s="24">
        <f t="shared" si="17"/>
        <v>7567322.8399999999</v>
      </c>
    </row>
    <row r="55" spans="1:11" ht="37.950000000000003" customHeight="1" x14ac:dyDescent="0.3">
      <c r="A55" s="88"/>
      <c r="B55" s="95"/>
      <c r="C55" s="56" t="s">
        <v>6</v>
      </c>
      <c r="D55" s="25">
        <f>D57+D60+D61+D62+D64+D66+D67+D68+D69+D70+D71</f>
        <v>50725997.369999997</v>
      </c>
      <c r="E55" s="24">
        <f t="shared" ref="E55:K55" si="18">E57+E60+E61+E62+E64+E66+E67+E68+E69+E70+E71</f>
        <v>5357889.01</v>
      </c>
      <c r="F55" s="24">
        <f t="shared" si="18"/>
        <v>5795806.9100000001</v>
      </c>
      <c r="G55" s="24">
        <f t="shared" si="18"/>
        <v>4477014.1199999992</v>
      </c>
      <c r="H55" s="24">
        <f t="shared" si="18"/>
        <v>6186067.6600000001</v>
      </c>
      <c r="I55" s="25">
        <f t="shared" si="18"/>
        <v>14656863.550000001</v>
      </c>
      <c r="J55" s="24">
        <f t="shared" si="18"/>
        <v>6685033.2799999993</v>
      </c>
      <c r="K55" s="24">
        <f t="shared" si="18"/>
        <v>7567322.8399999999</v>
      </c>
    </row>
    <row r="56" spans="1:11" ht="37.950000000000003" customHeight="1" x14ac:dyDescent="0.3">
      <c r="A56" s="89"/>
      <c r="B56" s="96"/>
      <c r="C56" s="56" t="s">
        <v>67</v>
      </c>
      <c r="D56" s="24">
        <f>D65</f>
        <v>3572105.89</v>
      </c>
      <c r="E56" s="24">
        <f t="shared" ref="E56:H56" si="19">E65</f>
        <v>3572105.89</v>
      </c>
      <c r="F56" s="24">
        <f t="shared" si="19"/>
        <v>0</v>
      </c>
      <c r="G56" s="24">
        <f t="shared" si="19"/>
        <v>0</v>
      </c>
      <c r="H56" s="24">
        <f t="shared" si="19"/>
        <v>0</v>
      </c>
      <c r="I56" s="24">
        <f>I65</f>
        <v>0</v>
      </c>
      <c r="J56" s="24">
        <f t="shared" ref="J56:K56" si="20">J65</f>
        <v>0</v>
      </c>
      <c r="K56" s="24">
        <f t="shared" si="20"/>
        <v>0</v>
      </c>
    </row>
    <row r="57" spans="1:11" ht="30" customHeight="1" x14ac:dyDescent="0.3">
      <c r="A57" s="87" t="s">
        <v>26</v>
      </c>
      <c r="B57" s="97" t="s">
        <v>5</v>
      </c>
      <c r="C57" s="1" t="s">
        <v>46</v>
      </c>
      <c r="D57" s="24">
        <f>D58+D59</f>
        <v>20388126.73</v>
      </c>
      <c r="E57" s="24">
        <f>E58+E59</f>
        <v>2063208.5899999999</v>
      </c>
      <c r="F57" s="24">
        <f>F58+F59</f>
        <v>3330133.05</v>
      </c>
      <c r="G57" s="24">
        <f t="shared" ref="G57:K57" si="21">G58+G59</f>
        <v>1791035.1199999999</v>
      </c>
      <c r="H57" s="24">
        <f t="shared" si="21"/>
        <v>1762531.4400000002</v>
      </c>
      <c r="I57" s="24">
        <f t="shared" si="21"/>
        <v>7906713.370000001</v>
      </c>
      <c r="J57" s="24">
        <f t="shared" si="21"/>
        <v>1737922.96</v>
      </c>
      <c r="K57" s="24">
        <f t="shared" si="21"/>
        <v>1796582.2</v>
      </c>
    </row>
    <row r="58" spans="1:11" ht="75" customHeight="1" x14ac:dyDescent="0.3">
      <c r="A58" s="88"/>
      <c r="B58" s="96"/>
      <c r="C58" s="56" t="s">
        <v>6</v>
      </c>
      <c r="D58" s="24">
        <f>SUM(E58:K58)</f>
        <v>18344688.510000002</v>
      </c>
      <c r="E58" s="24">
        <f>1407602.69+36457.68</f>
        <v>1444060.3699999999</v>
      </c>
      <c r="F58" s="24">
        <f>1189294.77+654400+610600-241628.45-262393.3-44429.97</f>
        <v>1905843.0499999998</v>
      </c>
      <c r="G58" s="24">
        <f>1422804.12+12721.7+29921.07+183905.38+151777.41-10094.56</f>
        <v>1791035.1199999999</v>
      </c>
      <c r="H58" s="24">
        <f>1439905.62+98000+150000+74625.82</f>
        <v>1762531.4400000002</v>
      </c>
      <c r="I58" s="24">
        <f>5736689.31+428438.15+1593719.85+550719.2-252796.38-150056.76</f>
        <v>7906713.370000001</v>
      </c>
      <c r="J58" s="24">
        <v>1737922.96</v>
      </c>
      <c r="K58" s="24">
        <v>1796582.2</v>
      </c>
    </row>
    <row r="59" spans="1:11" ht="57.75" customHeight="1" x14ac:dyDescent="0.3">
      <c r="A59" s="89"/>
      <c r="B59" s="1" t="s">
        <v>69</v>
      </c>
      <c r="C59" s="56" t="s">
        <v>6</v>
      </c>
      <c r="D59" s="24">
        <f>SUM(E59:K59)</f>
        <v>2043438.22</v>
      </c>
      <c r="E59" s="24">
        <v>619148.22</v>
      </c>
      <c r="F59" s="24">
        <f>1636390-212100</f>
        <v>1424290</v>
      </c>
      <c r="G59" s="24">
        <v>0</v>
      </c>
      <c r="H59" s="24">
        <v>0</v>
      </c>
      <c r="I59" s="24">
        <v>0</v>
      </c>
      <c r="J59" s="24">
        <v>0</v>
      </c>
      <c r="K59" s="24">
        <v>0</v>
      </c>
    </row>
    <row r="60" spans="1:11" ht="84" customHeight="1" x14ac:dyDescent="0.3">
      <c r="A60" s="43" t="s">
        <v>59</v>
      </c>
      <c r="B60" s="1" t="s">
        <v>5</v>
      </c>
      <c r="C60" s="1" t="s">
        <v>6</v>
      </c>
      <c r="D60" s="24">
        <f>SUM(E60:K60)</f>
        <v>1482548.1199999999</v>
      </c>
      <c r="E60" s="24">
        <v>662817.76</v>
      </c>
      <c r="F60" s="24">
        <f>239040-104370</f>
        <v>134670</v>
      </c>
      <c r="G60" s="24">
        <f>365850.6-172489.24</f>
        <v>193361.36</v>
      </c>
      <c r="H60" s="24">
        <f>304061.55-156550-38407.55</f>
        <v>109103.99999999999</v>
      </c>
      <c r="I60" s="24">
        <f>138172-31921</f>
        <v>106251</v>
      </c>
      <c r="J60" s="24">
        <v>138172</v>
      </c>
      <c r="K60" s="24">
        <v>138172</v>
      </c>
    </row>
    <row r="61" spans="1:11" ht="73.5" customHeight="1" x14ac:dyDescent="0.3">
      <c r="A61" s="43" t="s">
        <v>60</v>
      </c>
      <c r="B61" s="1" t="s">
        <v>5</v>
      </c>
      <c r="C61" s="8" t="s">
        <v>6</v>
      </c>
      <c r="D61" s="24">
        <f>SUM(E61:K61)</f>
        <v>17826836.469999999</v>
      </c>
      <c r="E61" s="24">
        <f>2091009.55-114910</f>
        <v>1976099.55</v>
      </c>
      <c r="F61" s="24">
        <f>2569100+8150-167645.12+233980-527422</f>
        <v>2116162.88</v>
      </c>
      <c r="G61" s="24">
        <f>3460473.36-512721.7-857000-211169.07-827971.54-151777.41</f>
        <v>899833.63999999955</v>
      </c>
      <c r="H61" s="24">
        <f>2076500.49-41.61</f>
        <v>2076458.88</v>
      </c>
      <c r="I61" s="24">
        <v>3797276.88</v>
      </c>
      <c r="J61" s="24">
        <v>3205958.88</v>
      </c>
      <c r="K61" s="24">
        <v>3755045.76</v>
      </c>
    </row>
    <row r="62" spans="1:11" ht="82.5" customHeight="1" x14ac:dyDescent="0.3">
      <c r="A62" s="43" t="s">
        <v>70</v>
      </c>
      <c r="B62" s="1" t="s">
        <v>69</v>
      </c>
      <c r="C62" s="8" t="s">
        <v>6</v>
      </c>
      <c r="D62" s="24">
        <f>SUM(E62:K62)</f>
        <v>122000</v>
      </c>
      <c r="E62" s="24">
        <f>120000+2000</f>
        <v>122000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</row>
    <row r="63" spans="1:11" ht="38.85" customHeight="1" x14ac:dyDescent="0.3">
      <c r="A63" s="119" t="s">
        <v>73</v>
      </c>
      <c r="B63" s="97" t="s">
        <v>69</v>
      </c>
      <c r="C63" s="56" t="s">
        <v>46</v>
      </c>
      <c r="D63" s="24">
        <f>D64+D65</f>
        <v>4105869</v>
      </c>
      <c r="E63" s="24">
        <f t="shared" ref="E63:K63" si="22">E64+E65</f>
        <v>4105869</v>
      </c>
      <c r="F63" s="24">
        <f t="shared" si="22"/>
        <v>0</v>
      </c>
      <c r="G63" s="24">
        <f t="shared" si="22"/>
        <v>0</v>
      </c>
      <c r="H63" s="24">
        <f t="shared" si="22"/>
        <v>0</v>
      </c>
      <c r="I63" s="24">
        <f t="shared" si="22"/>
        <v>0</v>
      </c>
      <c r="J63" s="24">
        <f t="shared" si="22"/>
        <v>0</v>
      </c>
      <c r="K63" s="24">
        <f t="shared" si="22"/>
        <v>0</v>
      </c>
    </row>
    <row r="64" spans="1:11" ht="38.85" customHeight="1" x14ac:dyDescent="0.3">
      <c r="A64" s="120"/>
      <c r="B64" s="95"/>
      <c r="C64" s="56" t="s">
        <v>6</v>
      </c>
      <c r="D64" s="24">
        <f>SUM(E64:K64)</f>
        <v>533763.1100000001</v>
      </c>
      <c r="E64" s="24">
        <f>643500.17-109737.06</f>
        <v>533763.1100000001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</row>
    <row r="65" spans="1:11" ht="38.85" customHeight="1" x14ac:dyDescent="0.3">
      <c r="A65" s="121"/>
      <c r="B65" s="96"/>
      <c r="C65" s="56" t="s">
        <v>67</v>
      </c>
      <c r="D65" s="24">
        <f>SUM(E65:K65)</f>
        <v>3572105.89</v>
      </c>
      <c r="E65" s="24">
        <f>4306499.83-734393.94</f>
        <v>3572105.89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</row>
    <row r="66" spans="1:11" ht="78" customHeight="1" x14ac:dyDescent="0.3">
      <c r="A66" s="46" t="s">
        <v>72</v>
      </c>
      <c r="B66" s="1" t="s">
        <v>5</v>
      </c>
      <c r="C66" s="8" t="s">
        <v>6</v>
      </c>
      <c r="D66" s="24">
        <f t="shared" ref="D66:D67" si="23">SUM(E66:J66)</f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</row>
    <row r="67" spans="1:11" ht="141.75" customHeight="1" x14ac:dyDescent="0.3">
      <c r="A67" s="46" t="s">
        <v>106</v>
      </c>
      <c r="B67" s="1" t="s">
        <v>5</v>
      </c>
      <c r="C67" s="8" t="s">
        <v>6</v>
      </c>
      <c r="D67" s="24">
        <f t="shared" si="23"/>
        <v>214840.98</v>
      </c>
      <c r="E67" s="24">
        <v>0</v>
      </c>
      <c r="F67" s="24">
        <f>255403.79-40562.81</f>
        <v>214840.98</v>
      </c>
      <c r="G67" s="24">
        <v>0</v>
      </c>
      <c r="H67" s="24">
        <v>0</v>
      </c>
      <c r="I67" s="24">
        <v>0</v>
      </c>
      <c r="J67" s="24">
        <v>0</v>
      </c>
      <c r="K67" s="24">
        <v>0</v>
      </c>
    </row>
    <row r="68" spans="1:11" ht="78.75" customHeight="1" x14ac:dyDescent="0.3">
      <c r="A68" s="46" t="s">
        <v>95</v>
      </c>
      <c r="B68" s="1" t="s">
        <v>5</v>
      </c>
      <c r="C68" s="8" t="s">
        <v>6</v>
      </c>
      <c r="D68" s="24">
        <f t="shared" ref="D68:D71" si="24">SUM(E68:K68)</f>
        <v>2086029.26</v>
      </c>
      <c r="E68" s="24">
        <v>0</v>
      </c>
      <c r="F68" s="24">
        <v>0</v>
      </c>
      <c r="G68" s="24">
        <f>787000+182120+96912</f>
        <v>1066032</v>
      </c>
      <c r="H68" s="24">
        <v>1019997.26</v>
      </c>
      <c r="I68" s="24">
        <v>0</v>
      </c>
      <c r="J68" s="24">
        <v>0</v>
      </c>
      <c r="K68" s="24">
        <v>0</v>
      </c>
    </row>
    <row r="69" spans="1:11" ht="116.25" customHeight="1" x14ac:dyDescent="0.3">
      <c r="A69" s="46" t="s">
        <v>97</v>
      </c>
      <c r="B69" s="1" t="s">
        <v>5</v>
      </c>
      <c r="C69" s="1" t="s">
        <v>6</v>
      </c>
      <c r="D69" s="24">
        <f t="shared" si="24"/>
        <v>7615020.4899999993</v>
      </c>
      <c r="E69" s="24">
        <v>0</v>
      </c>
      <c r="F69" s="24">
        <v>0</v>
      </c>
      <c r="G69" s="24">
        <f>181248+345504</f>
        <v>526752</v>
      </c>
      <c r="H69" s="24">
        <v>1140359.05</v>
      </c>
      <c r="I69" s="24">
        <v>2467407.12</v>
      </c>
      <c r="J69" s="24">
        <v>1602979.44</v>
      </c>
      <c r="K69" s="24">
        <v>1877522.88</v>
      </c>
    </row>
    <row r="70" spans="1:11" ht="81" customHeight="1" x14ac:dyDescent="0.3">
      <c r="A70" s="46" t="s">
        <v>116</v>
      </c>
      <c r="B70" s="1" t="s">
        <v>5</v>
      </c>
      <c r="C70" s="1" t="s">
        <v>6</v>
      </c>
      <c r="D70" s="24">
        <f t="shared" si="24"/>
        <v>77617.03</v>
      </c>
      <c r="E70" s="24">
        <v>0</v>
      </c>
      <c r="F70" s="24">
        <v>0</v>
      </c>
      <c r="G70" s="24">
        <v>0</v>
      </c>
      <c r="H70" s="24">
        <f>232712.63-155095.6</f>
        <v>77617.03</v>
      </c>
      <c r="I70" s="24">
        <v>0</v>
      </c>
      <c r="J70" s="24">
        <v>0</v>
      </c>
      <c r="K70" s="24">
        <v>0</v>
      </c>
    </row>
    <row r="71" spans="1:11" ht="81" customHeight="1" x14ac:dyDescent="0.3">
      <c r="A71" s="46" t="s">
        <v>131</v>
      </c>
      <c r="B71" s="1" t="s">
        <v>5</v>
      </c>
      <c r="C71" s="1" t="s">
        <v>6</v>
      </c>
      <c r="D71" s="24">
        <f t="shared" si="24"/>
        <v>379215.17999999993</v>
      </c>
      <c r="E71" s="24">
        <v>0</v>
      </c>
      <c r="F71" s="24">
        <v>0</v>
      </c>
      <c r="G71" s="24">
        <v>0</v>
      </c>
      <c r="H71" s="24">
        <v>0</v>
      </c>
      <c r="I71" s="24">
        <f>534719.2-150719.2-4784.82</f>
        <v>379215.17999999993</v>
      </c>
      <c r="J71" s="24">
        <v>0</v>
      </c>
      <c r="K71" s="24">
        <v>0</v>
      </c>
    </row>
    <row r="72" spans="1:11" ht="76.5" customHeight="1" x14ac:dyDescent="0.3">
      <c r="A72" s="43" t="s">
        <v>13</v>
      </c>
      <c r="B72" s="1" t="s">
        <v>5</v>
      </c>
      <c r="C72" s="1" t="s">
        <v>6</v>
      </c>
      <c r="D72" s="25">
        <f>D73+D74+D75+D76</f>
        <v>170097171.40000001</v>
      </c>
      <c r="E72" s="24">
        <f t="shared" ref="E72:K72" si="25">E73+E74+E75+E76</f>
        <v>14664066.210000001</v>
      </c>
      <c r="F72" s="24">
        <f t="shared" si="25"/>
        <v>18889782.289999999</v>
      </c>
      <c r="G72" s="24">
        <f t="shared" si="25"/>
        <v>23582913.379999999</v>
      </c>
      <c r="H72" s="24">
        <f t="shared" si="25"/>
        <v>23904950.569999997</v>
      </c>
      <c r="I72" s="25">
        <f t="shared" si="25"/>
        <v>29775036.789999999</v>
      </c>
      <c r="J72" s="24">
        <f t="shared" si="25"/>
        <v>29640211.079999998</v>
      </c>
      <c r="K72" s="24">
        <f t="shared" si="25"/>
        <v>29640211.079999998</v>
      </c>
    </row>
    <row r="73" spans="1:11" ht="76.5" customHeight="1" x14ac:dyDescent="0.3">
      <c r="A73" s="43" t="s">
        <v>27</v>
      </c>
      <c r="B73" s="1" t="s">
        <v>5</v>
      </c>
      <c r="C73" s="1" t="s">
        <v>6</v>
      </c>
      <c r="D73" s="24">
        <f t="shared" ref="D73:D74" si="26">SUM(E73:K73)</f>
        <v>166082042.88</v>
      </c>
      <c r="E73" s="26">
        <v>13961599.640000001</v>
      </c>
      <c r="F73" s="26">
        <f>15858711.68+2834159.61-848074.53</f>
        <v>17844796.759999998</v>
      </c>
      <c r="G73" s="26">
        <f>18692871.29+4204727.08</f>
        <v>22897598.369999997</v>
      </c>
      <c r="H73" s="26">
        <f>23195853.08+27599.79+220464</f>
        <v>23443916.869999997</v>
      </c>
      <c r="I73" s="26">
        <v>29311377.079999998</v>
      </c>
      <c r="J73" s="26">
        <v>29311377.079999998</v>
      </c>
      <c r="K73" s="26">
        <v>29311377.079999998</v>
      </c>
    </row>
    <row r="74" spans="1:11" ht="73.5" customHeight="1" x14ac:dyDescent="0.3">
      <c r="A74" s="43" t="s">
        <v>61</v>
      </c>
      <c r="B74" s="1" t="s">
        <v>5</v>
      </c>
      <c r="C74" s="1" t="s">
        <v>6</v>
      </c>
      <c r="D74" s="24">
        <f t="shared" si="26"/>
        <v>2134604</v>
      </c>
      <c r="E74" s="26">
        <f>174486</f>
        <v>174486</v>
      </c>
      <c r="F74" s="26">
        <f>385900-12328</f>
        <v>373572</v>
      </c>
      <c r="G74" s="26">
        <f>297092-10100</f>
        <v>286992</v>
      </c>
      <c r="H74" s="26">
        <f>314434-3400</f>
        <v>311034</v>
      </c>
      <c r="I74" s="26">
        <v>330852</v>
      </c>
      <c r="J74" s="26">
        <v>328834</v>
      </c>
      <c r="K74" s="26">
        <v>328834</v>
      </c>
    </row>
    <row r="75" spans="1:11" ht="90.75" customHeight="1" x14ac:dyDescent="0.3">
      <c r="A75" s="43" t="s">
        <v>89</v>
      </c>
      <c r="B75" s="1" t="s">
        <v>5</v>
      </c>
      <c r="C75" s="1" t="s">
        <v>6</v>
      </c>
      <c r="D75" s="26">
        <f>SUM(E75:K75)</f>
        <v>5600</v>
      </c>
      <c r="E75" s="26">
        <v>0</v>
      </c>
      <c r="F75" s="26">
        <v>5600</v>
      </c>
      <c r="G75" s="26">
        <v>0</v>
      </c>
      <c r="H75" s="26">
        <v>0</v>
      </c>
      <c r="I75" s="26">
        <v>0</v>
      </c>
      <c r="J75" s="26">
        <v>0</v>
      </c>
      <c r="K75" s="26">
        <v>0</v>
      </c>
    </row>
    <row r="76" spans="1:11" ht="96.75" customHeight="1" x14ac:dyDescent="0.3">
      <c r="A76" s="43" t="s">
        <v>35</v>
      </c>
      <c r="B76" s="1" t="s">
        <v>5</v>
      </c>
      <c r="C76" s="1" t="s">
        <v>6</v>
      </c>
      <c r="D76" s="26">
        <f>SUM(E76:K76)</f>
        <v>1874924.52</v>
      </c>
      <c r="E76" s="26">
        <f>452480.57+75500</f>
        <v>527980.57000000007</v>
      </c>
      <c r="F76" s="26">
        <f>145000+557910.85-37097.32</f>
        <v>665813.53</v>
      </c>
      <c r="G76" s="26">
        <f>0+300000+102008.17-3685.16</f>
        <v>398323.01</v>
      </c>
      <c r="H76" s="26">
        <f>9999.7+140000</f>
        <v>149999.70000000001</v>
      </c>
      <c r="I76" s="26">
        <v>132807.71</v>
      </c>
      <c r="J76" s="26">
        <v>0</v>
      </c>
      <c r="K76" s="26">
        <v>0</v>
      </c>
    </row>
    <row r="77" spans="1:11" ht="38.85" customHeight="1" x14ac:dyDescent="0.3">
      <c r="A77" s="90" t="s">
        <v>120</v>
      </c>
      <c r="B77" s="118" t="s">
        <v>65</v>
      </c>
      <c r="C77" s="11" t="s">
        <v>46</v>
      </c>
      <c r="D77" s="63">
        <f>SUM(E77:K77)</f>
        <v>1651307287.8699999</v>
      </c>
      <c r="E77" s="63">
        <f>E82+E90+E108+E113+E114+E115+E116+E117+E118+E119+E120+E132</f>
        <v>143413098.41</v>
      </c>
      <c r="F77" s="63">
        <f>F82+F90+F108+F113+F114+F115+F116+F117+F118+F119+F120+F132+F128+F123+F124+F125</f>
        <v>189662549.77000001</v>
      </c>
      <c r="G77" s="63">
        <f>G82+G90+G108+G113+G114+G115+G116+G117+G118+G119+G120+G132+G128</f>
        <v>229655560.42999998</v>
      </c>
      <c r="H77" s="63">
        <f t="shared" ref="H77" si="27">H82+H90+H108+H113+H114+H115+H116+H117+H118+H119+H120+H132</f>
        <v>253591107.39000002</v>
      </c>
      <c r="I77" s="63">
        <f>I82+I90+I108+I113+I114+I115+I116+I117+I118+I119+I120+I132+I133+I134+I137</f>
        <v>278559192.54000002</v>
      </c>
      <c r="J77" s="63">
        <f>J82+J90+J108+J113+J114+J115+J116+J117+J118+J119+J120+J132+J133</f>
        <v>251558921.35000002</v>
      </c>
      <c r="K77" s="63">
        <f>K82+K90+K108+K113+K114+K115+K116+K117+K118+K119+K120+K132+K133</f>
        <v>304866857.98000002</v>
      </c>
    </row>
    <row r="78" spans="1:11" ht="38.85" customHeight="1" x14ac:dyDescent="0.3">
      <c r="A78" s="91"/>
      <c r="B78" s="105"/>
      <c r="C78" s="31" t="s">
        <v>6</v>
      </c>
      <c r="D78" s="63">
        <f>D82+D90+D108+D113+D114+D115+D116+D117+D118+D119+D121+D123+D124+D126+D132+D133+D137</f>
        <v>1616955358.5699997</v>
      </c>
      <c r="E78" s="63">
        <f>E82+E90+E108+E113+E114+E115+E116+E117+E118+E119+E121+E123+E124+E126+E132+E137</f>
        <v>143413098.41</v>
      </c>
      <c r="F78" s="63">
        <f t="shared" ref="F78:I78" si="28">F82+F90+F108+F113+F114+F115+F116+F117+F118+F119+F121+F123+F124+F126+F132</f>
        <v>182840520.47000003</v>
      </c>
      <c r="G78" s="63">
        <f t="shared" si="28"/>
        <v>225418260.42999998</v>
      </c>
      <c r="H78" s="63">
        <f t="shared" si="28"/>
        <v>253591107.39000002</v>
      </c>
      <c r="I78" s="63">
        <f>I82+I90+I108+I113+I114+I115+I116+I117+I118+I119+I121+I123+I124+I126+I132+I133+I137</f>
        <v>278559192.54000002</v>
      </c>
      <c r="J78" s="63">
        <f>J82+J90+J108+J113+J114+J115+J116+J117+J118+J119+J121+J123+J124+J126+J132+J133</f>
        <v>239912621.35000002</v>
      </c>
      <c r="K78" s="63">
        <f>K82+K90+K108+K113+K114+K115+K116+K117+K118+K119+K121+K123+K124+K126+K132+K133</f>
        <v>293220557.98000002</v>
      </c>
    </row>
    <row r="79" spans="1:11" ht="38.85" customHeight="1" x14ac:dyDescent="0.3">
      <c r="A79" s="92"/>
      <c r="B79" s="106"/>
      <c r="C79" s="31" t="s">
        <v>67</v>
      </c>
      <c r="D79" s="63">
        <f>SUM(E79:K79)</f>
        <v>34351929.299999997</v>
      </c>
      <c r="E79" s="63">
        <f>E122+E127+E128</f>
        <v>0</v>
      </c>
      <c r="F79" s="63">
        <f t="shared" ref="F79:H79" si="29">F122+F127+F128</f>
        <v>6822029.2999999998</v>
      </c>
      <c r="G79" s="63">
        <f t="shared" si="29"/>
        <v>4237300</v>
      </c>
      <c r="H79" s="63">
        <f t="shared" si="29"/>
        <v>0</v>
      </c>
      <c r="I79" s="63">
        <f>I122+I127+I128</f>
        <v>0</v>
      </c>
      <c r="J79" s="63">
        <f>J122+J127+J128</f>
        <v>11646300</v>
      </c>
      <c r="K79" s="63">
        <f t="shared" ref="K79" si="30">K122+K127+K128</f>
        <v>11646300</v>
      </c>
    </row>
    <row r="80" spans="1:11" ht="82.5" customHeight="1" x14ac:dyDescent="0.3">
      <c r="A80" s="45" t="s">
        <v>28</v>
      </c>
      <c r="B80" s="3" t="s">
        <v>53</v>
      </c>
      <c r="C80" s="1" t="s">
        <v>6</v>
      </c>
      <c r="D80" s="6" t="s">
        <v>7</v>
      </c>
      <c r="E80" s="6" t="s">
        <v>7</v>
      </c>
      <c r="F80" s="6" t="s">
        <v>7</v>
      </c>
      <c r="G80" s="6" t="s">
        <v>7</v>
      </c>
      <c r="H80" s="6" t="s">
        <v>7</v>
      </c>
      <c r="I80" s="6" t="s">
        <v>7</v>
      </c>
      <c r="J80" s="6" t="s">
        <v>7</v>
      </c>
      <c r="K80" s="19" t="s">
        <v>7</v>
      </c>
    </row>
    <row r="81" spans="1:16" ht="104.25" customHeight="1" x14ac:dyDescent="0.3">
      <c r="A81" s="47" t="s">
        <v>40</v>
      </c>
      <c r="B81" s="3" t="s">
        <v>42</v>
      </c>
      <c r="C81" s="1" t="s">
        <v>6</v>
      </c>
      <c r="D81" s="6" t="s">
        <v>7</v>
      </c>
      <c r="E81" s="6" t="s">
        <v>7</v>
      </c>
      <c r="F81" s="6" t="s">
        <v>7</v>
      </c>
      <c r="G81" s="6" t="s">
        <v>7</v>
      </c>
      <c r="H81" s="6" t="s">
        <v>7</v>
      </c>
      <c r="I81" s="6" t="s">
        <v>7</v>
      </c>
      <c r="J81" s="6" t="s">
        <v>7</v>
      </c>
      <c r="K81" s="19" t="s">
        <v>7</v>
      </c>
    </row>
    <row r="82" spans="1:16" ht="115.5" customHeight="1" x14ac:dyDescent="0.3">
      <c r="A82" s="48" t="s">
        <v>29</v>
      </c>
      <c r="B82" s="3" t="s">
        <v>43</v>
      </c>
      <c r="C82" s="1" t="s">
        <v>46</v>
      </c>
      <c r="D82" s="28">
        <f>SUM(D83:D89)</f>
        <v>62690398</v>
      </c>
      <c r="E82" s="28">
        <f>SUM(E83:E89)</f>
        <v>5475970</v>
      </c>
      <c r="F82" s="28">
        <f>SUM(F83:F88)</f>
        <v>7867873</v>
      </c>
      <c r="G82" s="28">
        <f t="shared" ref="G82" si="31">SUM(G83:G88)</f>
        <v>20110170</v>
      </c>
      <c r="H82" s="28">
        <f>SUM(H83:H89)</f>
        <v>7765135</v>
      </c>
      <c r="I82" s="28">
        <f>SUM(I83:I89)</f>
        <v>13471250</v>
      </c>
      <c r="J82" s="28">
        <f t="shared" ref="J82:K82" si="32">SUM(J83:J88)</f>
        <v>4000000</v>
      </c>
      <c r="K82" s="28">
        <f t="shared" si="32"/>
        <v>4000000</v>
      </c>
    </row>
    <row r="83" spans="1:16" ht="85.5" customHeight="1" x14ac:dyDescent="0.3">
      <c r="A83" s="47" t="s">
        <v>52</v>
      </c>
      <c r="B83" s="3" t="s">
        <v>43</v>
      </c>
      <c r="C83" s="1" t="s">
        <v>6</v>
      </c>
      <c r="D83" s="28">
        <f>SUM(E83:K83)</f>
        <v>43337560</v>
      </c>
      <c r="E83" s="28">
        <v>3130970</v>
      </c>
      <c r="F83" s="28">
        <f>2525970-299000+3300000+2299000+41903</f>
        <v>7867873</v>
      </c>
      <c r="G83" s="28">
        <f>4810170+6000000+9300000</f>
        <v>20110170</v>
      </c>
      <c r="H83" s="28">
        <f>4444135-600000+234412</f>
        <v>4078547</v>
      </c>
      <c r="I83" s="28">
        <f>2500000-1150000+1800000</f>
        <v>3150000</v>
      </c>
      <c r="J83" s="28">
        <f>4000000-3000000</f>
        <v>1000000</v>
      </c>
      <c r="K83" s="28">
        <v>4000000</v>
      </c>
    </row>
    <row r="84" spans="1:16" ht="109.2" customHeight="1" x14ac:dyDescent="0.3">
      <c r="A84" s="48" t="s">
        <v>128</v>
      </c>
      <c r="B84" s="3" t="s">
        <v>133</v>
      </c>
      <c r="C84" s="1" t="s">
        <v>6</v>
      </c>
      <c r="D84" s="28">
        <f t="shared" ref="D84:D89" si="33">SUM(E84:J84)</f>
        <v>2997000</v>
      </c>
      <c r="E84" s="28">
        <v>0</v>
      </c>
      <c r="F84" s="28">
        <v>0</v>
      </c>
      <c r="G84" s="28">
        <v>0</v>
      </c>
      <c r="H84" s="28">
        <v>0</v>
      </c>
      <c r="I84" s="28">
        <f>750000+3000000-700000-53000</f>
        <v>2997000</v>
      </c>
      <c r="J84" s="28">
        <v>0</v>
      </c>
      <c r="K84" s="28">
        <v>0</v>
      </c>
    </row>
    <row r="85" spans="1:16" ht="207" customHeight="1" x14ac:dyDescent="0.3">
      <c r="A85" s="48" t="s">
        <v>130</v>
      </c>
      <c r="B85" s="3" t="s">
        <v>134</v>
      </c>
      <c r="C85" s="1" t="s">
        <v>6</v>
      </c>
      <c r="D85" s="28">
        <f t="shared" si="33"/>
        <v>2089250</v>
      </c>
      <c r="E85" s="28">
        <v>0</v>
      </c>
      <c r="F85" s="28">
        <v>0</v>
      </c>
      <c r="G85" s="28">
        <v>0</v>
      </c>
      <c r="H85" s="28">
        <v>0</v>
      </c>
      <c r="I85" s="28">
        <f>750000+2300000-600000-360750</f>
        <v>2089250</v>
      </c>
      <c r="J85" s="28">
        <v>0</v>
      </c>
      <c r="K85" s="28">
        <v>0</v>
      </c>
      <c r="P85" s="22"/>
    </row>
    <row r="86" spans="1:16" ht="119.25" customHeight="1" x14ac:dyDescent="0.3">
      <c r="A86" s="48" t="s">
        <v>92</v>
      </c>
      <c r="B86" s="3" t="s">
        <v>43</v>
      </c>
      <c r="C86" s="1" t="s">
        <v>6</v>
      </c>
      <c r="D86" s="28">
        <f t="shared" si="33"/>
        <v>301588</v>
      </c>
      <c r="E86" s="28">
        <v>0</v>
      </c>
      <c r="F86" s="28">
        <v>0</v>
      </c>
      <c r="G86" s="28">
        <v>0</v>
      </c>
      <c r="H86" s="28">
        <f>600000-298412</f>
        <v>301588</v>
      </c>
      <c r="I86" s="28">
        <v>0</v>
      </c>
      <c r="J86" s="28">
        <v>0</v>
      </c>
      <c r="K86" s="28">
        <v>0</v>
      </c>
    </row>
    <row r="87" spans="1:16" ht="119.25" customHeight="1" x14ac:dyDescent="0.3">
      <c r="A87" s="48" t="s">
        <v>85</v>
      </c>
      <c r="B87" s="3" t="s">
        <v>43</v>
      </c>
      <c r="C87" s="1" t="s">
        <v>6</v>
      </c>
      <c r="D87" s="28">
        <f t="shared" si="33"/>
        <v>95000</v>
      </c>
      <c r="E87" s="28">
        <v>95000</v>
      </c>
      <c r="F87" s="28">
        <v>0</v>
      </c>
      <c r="G87" s="28">
        <v>0</v>
      </c>
      <c r="H87" s="28">
        <v>0</v>
      </c>
      <c r="I87" s="28">
        <v>0</v>
      </c>
      <c r="J87" s="28">
        <v>0</v>
      </c>
      <c r="K87" s="28">
        <v>0</v>
      </c>
    </row>
    <row r="88" spans="1:16" ht="96.75" customHeight="1" x14ac:dyDescent="0.3">
      <c r="A88" s="47" t="s">
        <v>78</v>
      </c>
      <c r="B88" s="3" t="s">
        <v>43</v>
      </c>
      <c r="C88" s="1" t="s">
        <v>6</v>
      </c>
      <c r="D88" s="28">
        <f t="shared" si="33"/>
        <v>7100000</v>
      </c>
      <c r="E88" s="28">
        <v>2250000</v>
      </c>
      <c r="F88" s="28">
        <f>299000-299000</f>
        <v>0</v>
      </c>
      <c r="G88" s="28">
        <f>1500000-1500000</f>
        <v>0</v>
      </c>
      <c r="H88" s="28">
        <v>0</v>
      </c>
      <c r="I88" s="28">
        <v>1850000</v>
      </c>
      <c r="J88" s="28">
        <v>3000000</v>
      </c>
      <c r="K88" s="28">
        <v>0</v>
      </c>
    </row>
    <row r="89" spans="1:16" ht="96.75" customHeight="1" x14ac:dyDescent="0.3">
      <c r="A89" s="47" t="s">
        <v>121</v>
      </c>
      <c r="B89" s="3" t="s">
        <v>110</v>
      </c>
      <c r="C89" s="1" t="s">
        <v>6</v>
      </c>
      <c r="D89" s="28">
        <f t="shared" si="33"/>
        <v>6770000</v>
      </c>
      <c r="E89" s="28">
        <v>0</v>
      </c>
      <c r="F89" s="28">
        <v>0</v>
      </c>
      <c r="G89" s="28">
        <v>0</v>
      </c>
      <c r="H89" s="28">
        <f>4503600-1118600</f>
        <v>3385000</v>
      </c>
      <c r="I89" s="28">
        <f>4503600-1118600</f>
        <v>3385000</v>
      </c>
      <c r="J89" s="28">
        <v>0</v>
      </c>
      <c r="K89" s="28">
        <v>0</v>
      </c>
    </row>
    <row r="90" spans="1:16" ht="110.25" customHeight="1" x14ac:dyDescent="0.3">
      <c r="A90" s="87" t="s">
        <v>34</v>
      </c>
      <c r="B90" s="3" t="s">
        <v>32</v>
      </c>
      <c r="C90" s="1" t="s">
        <v>46</v>
      </c>
      <c r="D90" s="26">
        <f>SUM(E90:K90)</f>
        <v>9824060.1099999994</v>
      </c>
      <c r="E90" s="26">
        <f t="shared" ref="E90:I90" si="34">E91+E92+E93</f>
        <v>1914038.92</v>
      </c>
      <c r="F90" s="26">
        <f t="shared" si="34"/>
        <v>1313129.8</v>
      </c>
      <c r="G90" s="26">
        <f t="shared" si="34"/>
        <v>1409509.6</v>
      </c>
      <c r="H90" s="26">
        <f t="shared" si="34"/>
        <v>1301702.3400000001</v>
      </c>
      <c r="I90" s="26">
        <f t="shared" si="34"/>
        <v>1330219.45</v>
      </c>
      <c r="J90" s="26">
        <f>J91+J92+J93</f>
        <v>1277730</v>
      </c>
      <c r="K90" s="26">
        <f t="shared" ref="K90" si="35">K91+K92+K93</f>
        <v>1277730</v>
      </c>
    </row>
    <row r="91" spans="1:16" ht="20.100000000000001" customHeight="1" x14ac:dyDescent="0.35">
      <c r="A91" s="88"/>
      <c r="B91" s="2" t="s">
        <v>2</v>
      </c>
      <c r="C91" s="1" t="s">
        <v>6</v>
      </c>
      <c r="D91" s="26">
        <f>D95</f>
        <v>4350887.82</v>
      </c>
      <c r="E91" s="26">
        <f>E95+E99+E102+E105+E107</f>
        <v>1629873.92</v>
      </c>
      <c r="F91" s="26">
        <f t="shared" ref="F91:H91" si="36">F95+F99+F102+F105+F107</f>
        <v>1087434.8</v>
      </c>
      <c r="G91" s="26">
        <f t="shared" si="36"/>
        <v>1183814.6000000001</v>
      </c>
      <c r="H91" s="26">
        <f t="shared" si="36"/>
        <v>1076007.3400000001</v>
      </c>
      <c r="I91" s="26">
        <f>I95+I99+I102+I105+I107</f>
        <v>1016462.1</v>
      </c>
      <c r="J91" s="26">
        <f t="shared" ref="J91:K91" si="37">J95+J99+J102+J105+J107</f>
        <v>1051105</v>
      </c>
      <c r="K91" s="26">
        <f t="shared" si="37"/>
        <v>1051105</v>
      </c>
    </row>
    <row r="92" spans="1:16" ht="19.5" customHeight="1" x14ac:dyDescent="0.35">
      <c r="A92" s="88"/>
      <c r="B92" s="2" t="s">
        <v>3</v>
      </c>
      <c r="C92" s="1" t="s">
        <v>6</v>
      </c>
      <c r="D92" s="26">
        <f>D96+D100+D103+D106</f>
        <v>1647977.35</v>
      </c>
      <c r="E92" s="26">
        <f>E96+E100+E103+E106</f>
        <v>273095</v>
      </c>
      <c r="F92" s="26">
        <f>F96+F100+F103+F106</f>
        <v>214625</v>
      </c>
      <c r="G92" s="26">
        <f t="shared" ref="G92:K92" si="38">G96+G100+G103+G106</f>
        <v>214625</v>
      </c>
      <c r="H92" s="26">
        <f t="shared" si="38"/>
        <v>214625</v>
      </c>
      <c r="I92" s="26">
        <f t="shared" si="38"/>
        <v>301757.34999999998</v>
      </c>
      <c r="J92" s="26">
        <f t="shared" si="38"/>
        <v>214625</v>
      </c>
      <c r="K92" s="26">
        <f t="shared" si="38"/>
        <v>214625</v>
      </c>
    </row>
    <row r="93" spans="1:16" ht="20.100000000000001" customHeight="1" x14ac:dyDescent="0.3">
      <c r="A93" s="89"/>
      <c r="B93" s="1" t="s">
        <v>4</v>
      </c>
      <c r="C93" s="1" t="s">
        <v>6</v>
      </c>
      <c r="D93" s="26">
        <f>D97</f>
        <v>80280</v>
      </c>
      <c r="E93" s="26">
        <f>E97</f>
        <v>11070</v>
      </c>
      <c r="F93" s="26">
        <f>F97</f>
        <v>11070</v>
      </c>
      <c r="G93" s="26">
        <f t="shared" ref="G93:K93" si="39">G97</f>
        <v>11070</v>
      </c>
      <c r="H93" s="26">
        <f t="shared" si="39"/>
        <v>11070</v>
      </c>
      <c r="I93" s="26">
        <f t="shared" si="39"/>
        <v>12000</v>
      </c>
      <c r="J93" s="26">
        <f t="shared" si="39"/>
        <v>12000</v>
      </c>
      <c r="K93" s="26">
        <f t="shared" si="39"/>
        <v>12000</v>
      </c>
    </row>
    <row r="94" spans="1:16" ht="106.5" customHeight="1" x14ac:dyDescent="0.3">
      <c r="A94" s="87" t="s">
        <v>16</v>
      </c>
      <c r="B94" s="3" t="s">
        <v>32</v>
      </c>
      <c r="C94" s="1" t="s">
        <v>46</v>
      </c>
      <c r="D94" s="26">
        <f>D95+D96+D97</f>
        <v>4774771.07</v>
      </c>
      <c r="E94" s="26">
        <f t="shared" ref="E94:K94" si="40">E95+E96+E97</f>
        <v>1147429.92</v>
      </c>
      <c r="F94" s="26">
        <f t="shared" si="40"/>
        <v>609770</v>
      </c>
      <c r="G94" s="26">
        <f t="shared" si="40"/>
        <v>581070</v>
      </c>
      <c r="H94" s="26">
        <f t="shared" si="40"/>
        <v>553969.60000000009</v>
      </c>
      <c r="I94" s="26">
        <f t="shared" si="40"/>
        <v>674250.75</v>
      </c>
      <c r="J94" s="26">
        <f t="shared" si="40"/>
        <v>604140.4</v>
      </c>
      <c r="K94" s="26">
        <f t="shared" si="40"/>
        <v>604140.4</v>
      </c>
    </row>
    <row r="95" spans="1:16" ht="20.25" customHeight="1" x14ac:dyDescent="0.35">
      <c r="A95" s="88"/>
      <c r="B95" s="2" t="s">
        <v>2</v>
      </c>
      <c r="C95" s="1" t="s">
        <v>6</v>
      </c>
      <c r="D95" s="26">
        <f t="shared" ref="D91:D137" si="41">SUM(E95:K95)</f>
        <v>4350887.82</v>
      </c>
      <c r="E95" s="26">
        <f>344850+264000+272800+262000-103760.08</f>
        <v>1039889.92</v>
      </c>
      <c r="F95" s="26">
        <f>344850+264000+272800-320950</f>
        <v>560700</v>
      </c>
      <c r="G95" s="26">
        <f>688490.4-71350-70000-15140.4</f>
        <v>532000</v>
      </c>
      <c r="H95" s="26">
        <f>547140.4-26154.8-12200.5-4885.5</f>
        <v>503899.60000000003</v>
      </c>
      <c r="I95" s="26">
        <v>620117.5</v>
      </c>
      <c r="J95" s="26">
        <v>547140.4</v>
      </c>
      <c r="K95" s="26">
        <v>547140.4</v>
      </c>
    </row>
    <row r="96" spans="1:16" ht="20.25" customHeight="1" x14ac:dyDescent="0.35">
      <c r="A96" s="88"/>
      <c r="B96" s="2" t="s">
        <v>3</v>
      </c>
      <c r="C96" s="1" t="s">
        <v>6</v>
      </c>
      <c r="D96" s="26">
        <f t="shared" si="41"/>
        <v>343603.25</v>
      </c>
      <c r="E96" s="26">
        <v>96470</v>
      </c>
      <c r="F96" s="26">
        <f>96470-58470</f>
        <v>38000</v>
      </c>
      <c r="G96" s="26">
        <f>38000</f>
        <v>38000</v>
      </c>
      <c r="H96" s="26">
        <v>39000</v>
      </c>
      <c r="I96" s="26">
        <f>45000-2866.75</f>
        <v>42133.25</v>
      </c>
      <c r="J96" s="26">
        <v>45000</v>
      </c>
      <c r="K96" s="26">
        <v>45000</v>
      </c>
    </row>
    <row r="97" spans="1:17" ht="20.25" customHeight="1" x14ac:dyDescent="0.3">
      <c r="A97" s="89"/>
      <c r="B97" s="1" t="s">
        <v>4</v>
      </c>
      <c r="C97" s="1" t="s">
        <v>6</v>
      </c>
      <c r="D97" s="26">
        <f t="shared" si="41"/>
        <v>80280</v>
      </c>
      <c r="E97" s="26">
        <v>11070</v>
      </c>
      <c r="F97" s="26">
        <v>11070</v>
      </c>
      <c r="G97" s="26">
        <v>11070</v>
      </c>
      <c r="H97" s="26">
        <v>11070</v>
      </c>
      <c r="I97" s="26">
        <v>12000</v>
      </c>
      <c r="J97" s="26">
        <v>12000</v>
      </c>
      <c r="K97" s="26">
        <v>12000</v>
      </c>
    </row>
    <row r="98" spans="1:17" ht="72" customHeight="1" x14ac:dyDescent="0.3">
      <c r="A98" s="87" t="s">
        <v>15</v>
      </c>
      <c r="B98" s="3" t="s">
        <v>107</v>
      </c>
      <c r="C98" s="1" t="s">
        <v>46</v>
      </c>
      <c r="D98" s="26">
        <f>D99+D100</f>
        <v>1326193.2</v>
      </c>
      <c r="E98" s="26">
        <f>E99+E100</f>
        <v>169559</v>
      </c>
      <c r="F98" s="26">
        <f>F99+F100</f>
        <v>160079.79999999999</v>
      </c>
      <c r="G98" s="26">
        <f t="shared" ref="G98:K98" si="42">G99+G100</f>
        <v>155159.6</v>
      </c>
      <c r="H98" s="26">
        <f t="shared" si="42"/>
        <v>223421</v>
      </c>
      <c r="I98" s="26">
        <f t="shared" si="42"/>
        <v>239324.6</v>
      </c>
      <c r="J98" s="26">
        <f t="shared" si="42"/>
        <v>189324.6</v>
      </c>
      <c r="K98" s="26">
        <f t="shared" si="42"/>
        <v>189324.6</v>
      </c>
    </row>
    <row r="99" spans="1:17" ht="20.25" customHeight="1" x14ac:dyDescent="0.35">
      <c r="A99" s="88"/>
      <c r="B99" s="2" t="s">
        <v>2</v>
      </c>
      <c r="C99" s="1" t="s">
        <v>6</v>
      </c>
      <c r="D99" s="26">
        <f t="shared" si="41"/>
        <v>1043693.2</v>
      </c>
      <c r="E99" s="55">
        <f>84534.6+50399.4</f>
        <v>134934</v>
      </c>
      <c r="F99" s="55">
        <f>84534.6+40920.2</f>
        <v>125454.8</v>
      </c>
      <c r="G99" s="55">
        <f>84534.6+36000</f>
        <v>120534.6</v>
      </c>
      <c r="H99" s="55">
        <f>84534.6+36000-1705.74+70000-32.86</f>
        <v>188796</v>
      </c>
      <c r="I99" s="55">
        <f>141324.6+50000</f>
        <v>191324.6</v>
      </c>
      <c r="J99" s="55">
        <v>141324.6</v>
      </c>
      <c r="K99" s="55">
        <v>141324.6</v>
      </c>
    </row>
    <row r="100" spans="1:17" ht="20.25" customHeight="1" x14ac:dyDescent="0.35">
      <c r="A100" s="89"/>
      <c r="B100" s="2" t="s">
        <v>3</v>
      </c>
      <c r="C100" s="1" t="s">
        <v>6</v>
      </c>
      <c r="D100" s="26">
        <f t="shared" si="41"/>
        <v>282500</v>
      </c>
      <c r="E100" s="55">
        <v>34625</v>
      </c>
      <c r="F100" s="55">
        <v>34625</v>
      </c>
      <c r="G100" s="55">
        <v>34625</v>
      </c>
      <c r="H100" s="55">
        <v>34625</v>
      </c>
      <c r="I100" s="55">
        <v>48000</v>
      </c>
      <c r="J100" s="55">
        <v>48000</v>
      </c>
      <c r="K100" s="55">
        <v>48000</v>
      </c>
    </row>
    <row r="101" spans="1:17" ht="72" customHeight="1" x14ac:dyDescent="0.3">
      <c r="A101" s="87" t="s">
        <v>136</v>
      </c>
      <c r="B101" s="3" t="s">
        <v>108</v>
      </c>
      <c r="C101" s="1" t="s">
        <v>46</v>
      </c>
      <c r="D101" s="26">
        <f>D102+D103</f>
        <v>3369390.1</v>
      </c>
      <c r="E101" s="26">
        <f>E102+E103</f>
        <v>567050</v>
      </c>
      <c r="F101" s="26">
        <f>F102+F103</f>
        <v>513280</v>
      </c>
      <c r="G101" s="26">
        <f t="shared" ref="G101:J101" si="43">G102+G103</f>
        <v>513280</v>
      </c>
      <c r="H101" s="26">
        <f t="shared" si="43"/>
        <v>492606</v>
      </c>
      <c r="I101" s="26">
        <f t="shared" si="43"/>
        <v>382644.1</v>
      </c>
      <c r="J101" s="26">
        <f t="shared" si="43"/>
        <v>450265</v>
      </c>
      <c r="K101" s="26">
        <f>K102+K103</f>
        <v>450265</v>
      </c>
    </row>
    <row r="102" spans="1:17" ht="20.25" customHeight="1" x14ac:dyDescent="0.35">
      <c r="A102" s="88"/>
      <c r="B102" s="2" t="s">
        <v>2</v>
      </c>
      <c r="C102" s="1" t="s">
        <v>6</v>
      </c>
      <c r="D102" s="26">
        <f t="shared" si="41"/>
        <v>2401516</v>
      </c>
      <c r="E102" s="55">
        <f>377280+53770</f>
        <v>431050</v>
      </c>
      <c r="F102" s="55">
        <v>377280</v>
      </c>
      <c r="G102" s="55">
        <v>377280</v>
      </c>
      <c r="H102" s="55">
        <f>377280-17850-1824</f>
        <v>357606</v>
      </c>
      <c r="I102" s="55">
        <v>181020</v>
      </c>
      <c r="J102" s="55">
        <v>338640</v>
      </c>
      <c r="K102" s="55">
        <v>338640</v>
      </c>
    </row>
    <row r="103" spans="1:17" ht="20.25" customHeight="1" x14ac:dyDescent="0.35">
      <c r="A103" s="89"/>
      <c r="B103" s="2" t="s">
        <v>3</v>
      </c>
      <c r="C103" s="1" t="s">
        <v>6</v>
      </c>
      <c r="D103" s="26">
        <f t="shared" si="41"/>
        <v>967874.1</v>
      </c>
      <c r="E103" s="55">
        <v>136000</v>
      </c>
      <c r="F103" s="55">
        <v>136000</v>
      </c>
      <c r="G103" s="55">
        <v>136000</v>
      </c>
      <c r="H103" s="55">
        <v>135000</v>
      </c>
      <c r="I103" s="55">
        <f>111625+89999.1</f>
        <v>201624.1</v>
      </c>
      <c r="J103" s="55">
        <v>111625</v>
      </c>
      <c r="K103" s="55">
        <v>111625</v>
      </c>
    </row>
    <row r="104" spans="1:17" ht="70.5" customHeight="1" x14ac:dyDescent="0.3">
      <c r="A104" s="115" t="s">
        <v>17</v>
      </c>
      <c r="B104" s="3" t="s">
        <v>109</v>
      </c>
      <c r="C104" s="1" t="s">
        <v>46</v>
      </c>
      <c r="D104" s="26">
        <f>D105+D106</f>
        <v>222000</v>
      </c>
      <c r="E104" s="26">
        <f>E105+E106</f>
        <v>30000</v>
      </c>
      <c r="F104" s="26">
        <f>F105+F106</f>
        <v>30000</v>
      </c>
      <c r="G104" s="26">
        <f t="shared" ref="G104:K104" si="44">G105+G106</f>
        <v>30000</v>
      </c>
      <c r="H104" s="26">
        <f t="shared" si="44"/>
        <v>30000</v>
      </c>
      <c r="I104" s="26">
        <f t="shared" si="44"/>
        <v>34000</v>
      </c>
      <c r="J104" s="26">
        <f t="shared" si="44"/>
        <v>34000</v>
      </c>
      <c r="K104" s="26">
        <f t="shared" si="44"/>
        <v>34000</v>
      </c>
    </row>
    <row r="105" spans="1:17" ht="20.25" customHeight="1" x14ac:dyDescent="0.35">
      <c r="A105" s="116"/>
      <c r="B105" s="2" t="s">
        <v>2</v>
      </c>
      <c r="C105" s="1" t="s">
        <v>6</v>
      </c>
      <c r="D105" s="26">
        <f t="shared" si="41"/>
        <v>168000</v>
      </c>
      <c r="E105" s="26">
        <v>24000</v>
      </c>
      <c r="F105" s="26">
        <v>24000</v>
      </c>
      <c r="G105" s="26">
        <v>24000</v>
      </c>
      <c r="H105" s="26">
        <v>24000</v>
      </c>
      <c r="I105" s="26">
        <v>24000</v>
      </c>
      <c r="J105" s="26">
        <v>24000</v>
      </c>
      <c r="K105" s="26">
        <v>24000</v>
      </c>
    </row>
    <row r="106" spans="1:17" ht="20.25" customHeight="1" x14ac:dyDescent="0.35">
      <c r="A106" s="117"/>
      <c r="B106" s="2" t="s">
        <v>3</v>
      </c>
      <c r="C106" s="1" t="s">
        <v>6</v>
      </c>
      <c r="D106" s="26">
        <f t="shared" si="41"/>
        <v>54000</v>
      </c>
      <c r="E106" s="26">
        <v>6000</v>
      </c>
      <c r="F106" s="26">
        <v>6000</v>
      </c>
      <c r="G106" s="26">
        <v>6000</v>
      </c>
      <c r="H106" s="26">
        <v>6000</v>
      </c>
      <c r="I106" s="26">
        <v>10000</v>
      </c>
      <c r="J106" s="26">
        <v>10000</v>
      </c>
      <c r="K106" s="26">
        <v>10000</v>
      </c>
    </row>
    <row r="107" spans="1:17" ht="58.5" customHeight="1" x14ac:dyDescent="0.3">
      <c r="A107" s="49" t="s">
        <v>96</v>
      </c>
      <c r="B107" s="3" t="s">
        <v>14</v>
      </c>
      <c r="C107" s="1" t="s">
        <v>6</v>
      </c>
      <c r="D107" s="26">
        <f t="shared" si="41"/>
        <v>131705.74</v>
      </c>
      <c r="E107" s="26">
        <v>0</v>
      </c>
      <c r="F107" s="26">
        <v>0</v>
      </c>
      <c r="G107" s="26">
        <v>130000</v>
      </c>
      <c r="H107" s="26">
        <f>1705.74</f>
        <v>1705.74</v>
      </c>
      <c r="I107" s="26">
        <v>0</v>
      </c>
      <c r="J107" s="26">
        <v>0</v>
      </c>
      <c r="K107" s="26">
        <v>0</v>
      </c>
    </row>
    <row r="108" spans="1:17" ht="59.25" customHeight="1" x14ac:dyDescent="0.3">
      <c r="A108" s="50" t="s">
        <v>18</v>
      </c>
      <c r="B108" s="3" t="s">
        <v>14</v>
      </c>
      <c r="C108" s="1" t="s">
        <v>6</v>
      </c>
      <c r="D108" s="26">
        <f>D109+D110+D111+D112</f>
        <v>932542325.37999988</v>
      </c>
      <c r="E108" s="26">
        <f>E109+E110+E111+E112</f>
        <v>134831689.49000001</v>
      </c>
      <c r="F108" s="26">
        <f>F109+F110+F111+F112</f>
        <v>105971077.68000001</v>
      </c>
      <c r="G108" s="26">
        <f t="shared" ref="G108:H108" si="45">G109+G110+G111+G112</f>
        <v>135235419.95999998</v>
      </c>
      <c r="H108" s="26">
        <f t="shared" si="45"/>
        <v>151362962.77000001</v>
      </c>
      <c r="I108" s="26">
        <f>I109+I110+I111+I112</f>
        <v>132747229.10000001</v>
      </c>
      <c r="J108" s="26">
        <f>J109+J110+J111+J112</f>
        <v>109399223.69000001</v>
      </c>
      <c r="K108" s="26">
        <f t="shared" ref="K108" si="46">K109+K110+K111+K112</f>
        <v>162994722.69</v>
      </c>
    </row>
    <row r="109" spans="1:17" ht="57.75" customHeight="1" x14ac:dyDescent="0.3">
      <c r="A109" s="50" t="s">
        <v>19</v>
      </c>
      <c r="B109" s="3" t="s">
        <v>14</v>
      </c>
      <c r="C109" s="1" t="s">
        <v>6</v>
      </c>
      <c r="D109" s="26">
        <f t="shared" si="41"/>
        <v>841341732.86999989</v>
      </c>
      <c r="E109" s="26">
        <v>84127595.180000007</v>
      </c>
      <c r="F109" s="26">
        <f>91484403.1+7727610.7+63921-21020-500000-826410+256000+3109489.9</f>
        <v>101293994.7</v>
      </c>
      <c r="G109" s="26">
        <f>99572673.72+23171237.13+3636642.24+1917048.3</f>
        <v>128297601.38999999</v>
      </c>
      <c r="H109" s="26">
        <f>111787781.73+16467936.45+262763.55+251921.72-179294.95+18848764.69-23423.45-545964</f>
        <v>146870485.74000001</v>
      </c>
      <c r="I109" s="26">
        <f>115379057.94+567332.3+2121057.4-100+9624056-50000-455780-4640832.16+4224342.16-1081004.34</f>
        <v>125688129.3</v>
      </c>
      <c r="J109" s="26">
        <v>108434213.78</v>
      </c>
      <c r="K109" s="26">
        <v>146629712.78</v>
      </c>
      <c r="P109" s="22"/>
      <c r="Q109" s="22"/>
    </row>
    <row r="110" spans="1:17" ht="76.5" customHeight="1" x14ac:dyDescent="0.3">
      <c r="A110" s="50" t="s">
        <v>39</v>
      </c>
      <c r="B110" s="1" t="s">
        <v>8</v>
      </c>
      <c r="C110" s="1" t="s">
        <v>6</v>
      </c>
      <c r="D110" s="26">
        <f t="shared" si="41"/>
        <v>43345376.289999999</v>
      </c>
      <c r="E110" s="26">
        <v>3031329.09</v>
      </c>
      <c r="F110" s="26">
        <f>3231816.41+16000-264000-223278+856546+72404+80000-78193+70435.51+500000+382887.06</f>
        <v>4644617.9799999995</v>
      </c>
      <c r="G110" s="26">
        <f>4226210.41+1247500+967000-331568.84+800000</f>
        <v>6909141.5700000003</v>
      </c>
      <c r="H110" s="26">
        <f>4226253-15000+252256.56</f>
        <v>4463509.5599999996</v>
      </c>
      <c r="I110" s="26">
        <f>6065243-32665+190000+613400+42341.29+150000</f>
        <v>7028319.29</v>
      </c>
      <c r="J110" s="26">
        <v>934229.4</v>
      </c>
      <c r="K110" s="26">
        <v>16334229.4</v>
      </c>
    </row>
    <row r="111" spans="1:17" ht="78" customHeight="1" x14ac:dyDescent="0.3">
      <c r="A111" s="43" t="s">
        <v>38</v>
      </c>
      <c r="B111" s="3" t="s">
        <v>65</v>
      </c>
      <c r="C111" s="1" t="s">
        <v>6</v>
      </c>
      <c r="D111" s="26">
        <f t="shared" si="41"/>
        <v>218578.00000000003</v>
      </c>
      <c r="E111" s="26">
        <f>40097-3970</f>
        <v>36127</v>
      </c>
      <c r="F111" s="26">
        <f>40097-3970-3662</f>
        <v>32465</v>
      </c>
      <c r="G111" s="26">
        <f>33666-4989</f>
        <v>28677</v>
      </c>
      <c r="H111" s="26">
        <v>28967.47</v>
      </c>
      <c r="I111" s="26">
        <v>30780.51</v>
      </c>
      <c r="J111" s="26">
        <v>30780.51</v>
      </c>
      <c r="K111" s="26">
        <v>30780.51</v>
      </c>
    </row>
    <row r="112" spans="1:17" ht="66.75" customHeight="1" x14ac:dyDescent="0.3">
      <c r="A112" s="43" t="s">
        <v>36</v>
      </c>
      <c r="B112" s="1" t="s">
        <v>37</v>
      </c>
      <c r="C112" s="1" t="s">
        <v>6</v>
      </c>
      <c r="D112" s="26">
        <f t="shared" si="41"/>
        <v>47636638.219999999</v>
      </c>
      <c r="E112" s="26">
        <v>47636638.219999999</v>
      </c>
      <c r="F112" s="26">
        <v>0</v>
      </c>
      <c r="G112" s="26">
        <v>0</v>
      </c>
      <c r="H112" s="26">
        <v>0</v>
      </c>
      <c r="I112" s="26">
        <v>0</v>
      </c>
      <c r="J112" s="26">
        <v>0</v>
      </c>
      <c r="K112" s="26">
        <v>0</v>
      </c>
    </row>
    <row r="113" spans="1:11" ht="57.75" customHeight="1" x14ac:dyDescent="0.3">
      <c r="A113" s="50" t="s">
        <v>20</v>
      </c>
      <c r="B113" s="1" t="s">
        <v>14</v>
      </c>
      <c r="C113" s="1" t="s">
        <v>6</v>
      </c>
      <c r="D113" s="26">
        <f t="shared" si="41"/>
        <v>16564077.43</v>
      </c>
      <c r="E113" s="26">
        <f>1000000-750000</f>
        <v>250000</v>
      </c>
      <c r="F113" s="26">
        <f>1000000-750000+328247.67+64800</f>
        <v>643047.66999999993</v>
      </c>
      <c r="G113" s="26">
        <f>450000+200000+200000</f>
        <v>850000</v>
      </c>
      <c r="H113" s="26">
        <f>11430215.39+90814.37+300000</f>
        <v>11821029.76</v>
      </c>
      <c r="I113" s="26">
        <v>1000000</v>
      </c>
      <c r="J113" s="26">
        <v>1000000</v>
      </c>
      <c r="K113" s="26">
        <v>1000000</v>
      </c>
    </row>
    <row r="114" spans="1:11" ht="102" customHeight="1" x14ac:dyDescent="0.3">
      <c r="A114" s="50" t="s">
        <v>21</v>
      </c>
      <c r="B114" s="1" t="s">
        <v>14</v>
      </c>
      <c r="C114" s="1" t="s">
        <v>6</v>
      </c>
      <c r="D114" s="26">
        <f t="shared" si="41"/>
        <v>641400</v>
      </c>
      <c r="E114" s="26">
        <v>41400</v>
      </c>
      <c r="F114" s="26">
        <f>200000-200000</f>
        <v>0</v>
      </c>
      <c r="G114" s="26">
        <f>200000-200000</f>
        <v>0</v>
      </c>
      <c r="H114" s="26">
        <f>200000-200000</f>
        <v>0</v>
      </c>
      <c r="I114" s="26">
        <v>200000</v>
      </c>
      <c r="J114" s="26">
        <v>200000</v>
      </c>
      <c r="K114" s="26">
        <v>200000</v>
      </c>
    </row>
    <row r="115" spans="1:11" ht="61.5" customHeight="1" x14ac:dyDescent="0.3">
      <c r="A115" s="50" t="s">
        <v>47</v>
      </c>
      <c r="B115" s="1" t="s">
        <v>62</v>
      </c>
      <c r="C115" s="1" t="s">
        <v>6</v>
      </c>
      <c r="D115" s="26">
        <f t="shared" si="41"/>
        <v>2011136</v>
      </c>
      <c r="E115" s="26">
        <v>400000</v>
      </c>
      <c r="F115" s="26">
        <f>400000-388864</f>
        <v>11136</v>
      </c>
      <c r="G115" s="26">
        <v>400000</v>
      </c>
      <c r="H115" s="26">
        <v>0</v>
      </c>
      <c r="I115" s="26">
        <v>400000</v>
      </c>
      <c r="J115" s="26">
        <v>400000</v>
      </c>
      <c r="K115" s="26">
        <v>400000</v>
      </c>
    </row>
    <row r="116" spans="1:11" ht="129" customHeight="1" x14ac:dyDescent="0.3">
      <c r="A116" s="50" t="s">
        <v>66</v>
      </c>
      <c r="B116" s="3" t="s">
        <v>65</v>
      </c>
      <c r="C116" s="1" t="s">
        <v>6</v>
      </c>
      <c r="D116" s="26">
        <f t="shared" si="41"/>
        <v>1461178.17</v>
      </c>
      <c r="E116" s="26">
        <v>500000</v>
      </c>
      <c r="F116" s="26">
        <f>500000+500000-38821.83</f>
        <v>961178.17</v>
      </c>
      <c r="G116" s="26">
        <v>0</v>
      </c>
      <c r="H116" s="26">
        <v>0</v>
      </c>
      <c r="I116" s="26">
        <v>0</v>
      </c>
      <c r="J116" s="26">
        <v>0</v>
      </c>
      <c r="K116" s="26">
        <v>0</v>
      </c>
    </row>
    <row r="117" spans="1:11" ht="83.25" customHeight="1" x14ac:dyDescent="0.3">
      <c r="A117" s="50" t="s">
        <v>93</v>
      </c>
      <c r="B117" s="3" t="s">
        <v>65</v>
      </c>
      <c r="C117" s="1" t="s">
        <v>6</v>
      </c>
      <c r="D117" s="26">
        <f t="shared" si="41"/>
        <v>4038751.83</v>
      </c>
      <c r="E117" s="26">
        <v>0</v>
      </c>
      <c r="F117" s="26">
        <v>0</v>
      </c>
      <c r="G117" s="26">
        <f>1000000-893457.15-106542.85</f>
        <v>0</v>
      </c>
      <c r="H117" s="26">
        <f>291867.39-200000-46471.97-45395.42</f>
        <v>0</v>
      </c>
      <c r="I117" s="26">
        <f>2000000-1472317-488931.17</f>
        <v>38751.830000000016</v>
      </c>
      <c r="J117" s="26">
        <v>2000000</v>
      </c>
      <c r="K117" s="26">
        <v>2000000</v>
      </c>
    </row>
    <row r="118" spans="1:11" ht="63" customHeight="1" x14ac:dyDescent="0.3">
      <c r="A118" s="49" t="s">
        <v>81</v>
      </c>
      <c r="B118" s="58" t="s">
        <v>79</v>
      </c>
      <c r="C118" s="56" t="s">
        <v>6</v>
      </c>
      <c r="D118" s="26">
        <f t="shared" si="41"/>
        <v>101612576.93000001</v>
      </c>
      <c r="E118" s="26">
        <v>0</v>
      </c>
      <c r="F118" s="26">
        <f>14783926.1-257109.98+212100</f>
        <v>14738916.119999999</v>
      </c>
      <c r="G118" s="26">
        <f>14634937.12+2072456.59</f>
        <v>16707393.709999999</v>
      </c>
      <c r="H118" s="26">
        <f>1037186.46+12917187.64+3000000+83943.2+14527.5</f>
        <v>17052844.800000001</v>
      </c>
      <c r="I118" s="26">
        <f>17379374.1+476000+19300</f>
        <v>17874674.100000001</v>
      </c>
      <c r="J118" s="26">
        <v>17619374.100000001</v>
      </c>
      <c r="K118" s="26">
        <v>17619374.100000001</v>
      </c>
    </row>
    <row r="119" spans="1:11" ht="66.75" customHeight="1" x14ac:dyDescent="0.3">
      <c r="A119" s="50" t="s">
        <v>80</v>
      </c>
      <c r="B119" s="3" t="s">
        <v>37</v>
      </c>
      <c r="C119" s="1" t="s">
        <v>6</v>
      </c>
      <c r="D119" s="26">
        <f t="shared" si="41"/>
        <v>359084688.30999994</v>
      </c>
      <c r="E119" s="26">
        <v>0</v>
      </c>
      <c r="F119" s="26">
        <f>48986954.7+80850+4995-300000</f>
        <v>48772799.700000003</v>
      </c>
      <c r="G119" s="26">
        <f>50088504.84+368984.35+248277.97</f>
        <v>50705767.160000004</v>
      </c>
      <c r="H119" s="26">
        <f>4898054.83+45538092.4+9000000+1509183.43</f>
        <v>60945330.659999996</v>
      </c>
      <c r="I119" s="26">
        <f>8620726.28+57605001.38-56355.56</f>
        <v>66169372.100000001</v>
      </c>
      <c r="J119" s="26">
        <f>8640750.66+57604940.37</f>
        <v>66245691.030000001</v>
      </c>
      <c r="K119" s="26">
        <v>66245727.659999996</v>
      </c>
    </row>
    <row r="120" spans="1:11" ht="38.85" customHeight="1" x14ac:dyDescent="0.3">
      <c r="A120" s="115" t="s">
        <v>82</v>
      </c>
      <c r="B120" s="112" t="s">
        <v>14</v>
      </c>
      <c r="C120" s="1" t="s">
        <v>46</v>
      </c>
      <c r="D120" s="26">
        <f t="shared" si="41"/>
        <v>25883863</v>
      </c>
      <c r="E120" s="26">
        <f>E121+E122</f>
        <v>0</v>
      </c>
      <c r="F120" s="26">
        <f t="shared" ref="F120:I120" si="47">F121+F122</f>
        <v>0</v>
      </c>
      <c r="G120" s="26">
        <f t="shared" si="47"/>
        <v>0</v>
      </c>
      <c r="H120" s="26">
        <f t="shared" si="47"/>
        <v>0</v>
      </c>
      <c r="I120" s="26">
        <f t="shared" si="47"/>
        <v>0</v>
      </c>
      <c r="J120" s="26">
        <f>J121+J122</f>
        <v>13085731</v>
      </c>
      <c r="K120" s="26">
        <f>K121+K122</f>
        <v>12798132</v>
      </c>
    </row>
    <row r="121" spans="1:11" ht="38.85" customHeight="1" x14ac:dyDescent="0.3">
      <c r="A121" s="116"/>
      <c r="B121" s="113"/>
      <c r="C121" s="56" t="s">
        <v>6</v>
      </c>
      <c r="D121" s="26">
        <f t="shared" si="41"/>
        <v>2591263</v>
      </c>
      <c r="E121" s="26">
        <v>0</v>
      </c>
      <c r="F121" s="26">
        <v>0</v>
      </c>
      <c r="G121" s="26">
        <v>0</v>
      </c>
      <c r="H121" s="26">
        <v>0</v>
      </c>
      <c r="I121" s="26">
        <v>0</v>
      </c>
      <c r="J121" s="26">
        <v>1439431</v>
      </c>
      <c r="K121" s="26">
        <v>1151832</v>
      </c>
    </row>
    <row r="122" spans="1:11" ht="38.85" customHeight="1" x14ac:dyDescent="0.3">
      <c r="A122" s="117"/>
      <c r="B122" s="114"/>
      <c r="C122" s="56" t="s">
        <v>67</v>
      </c>
      <c r="D122" s="26">
        <f t="shared" si="41"/>
        <v>23292600</v>
      </c>
      <c r="E122" s="26">
        <v>0</v>
      </c>
      <c r="F122" s="26">
        <v>0</v>
      </c>
      <c r="G122" s="26">
        <v>0</v>
      </c>
      <c r="H122" s="26">
        <v>0</v>
      </c>
      <c r="I122" s="26">
        <v>0</v>
      </c>
      <c r="J122" s="26">
        <v>11646300</v>
      </c>
      <c r="K122" s="26">
        <v>11646300</v>
      </c>
    </row>
    <row r="123" spans="1:11" ht="58.5" customHeight="1" x14ac:dyDescent="0.3">
      <c r="A123" s="49" t="s">
        <v>88</v>
      </c>
      <c r="B123" s="56" t="s">
        <v>62</v>
      </c>
      <c r="C123" s="56" t="s">
        <v>6</v>
      </c>
      <c r="D123" s="26">
        <f t="shared" si="41"/>
        <v>36000</v>
      </c>
      <c r="E123" s="26">
        <v>0</v>
      </c>
      <c r="F123" s="26">
        <v>36000</v>
      </c>
      <c r="G123" s="26">
        <v>0</v>
      </c>
      <c r="H123" s="26">
        <v>0</v>
      </c>
      <c r="I123" s="26">
        <v>0</v>
      </c>
      <c r="J123" s="26">
        <v>0</v>
      </c>
      <c r="K123" s="26">
        <v>0</v>
      </c>
    </row>
    <row r="124" spans="1:11" ht="116.25" customHeight="1" x14ac:dyDescent="0.3">
      <c r="A124" s="50" t="s">
        <v>87</v>
      </c>
      <c r="B124" s="3" t="s">
        <v>65</v>
      </c>
      <c r="C124" s="1" t="s">
        <v>6</v>
      </c>
      <c r="D124" s="26">
        <f t="shared" si="41"/>
        <v>2000000</v>
      </c>
      <c r="E124" s="26">
        <v>0</v>
      </c>
      <c r="F124" s="26">
        <v>2000000</v>
      </c>
      <c r="G124" s="26">
        <v>0</v>
      </c>
      <c r="H124" s="26">
        <v>0</v>
      </c>
      <c r="I124" s="26">
        <v>0</v>
      </c>
      <c r="J124" s="26">
        <v>0</v>
      </c>
      <c r="K124" s="26">
        <v>0</v>
      </c>
    </row>
    <row r="125" spans="1:11" ht="60" customHeight="1" x14ac:dyDescent="0.3">
      <c r="A125" s="115" t="s">
        <v>90</v>
      </c>
      <c r="B125" s="112" t="s">
        <v>14</v>
      </c>
      <c r="C125" s="56" t="s">
        <v>46</v>
      </c>
      <c r="D125" s="26">
        <f t="shared" si="41"/>
        <v>7347391.6299999999</v>
      </c>
      <c r="E125" s="26">
        <f>E126+E127</f>
        <v>0</v>
      </c>
      <c r="F125" s="26">
        <f t="shared" ref="F125:K125" si="48">F126+F127</f>
        <v>7347391.6299999999</v>
      </c>
      <c r="G125" s="26">
        <f t="shared" si="48"/>
        <v>0</v>
      </c>
      <c r="H125" s="26">
        <f t="shared" si="48"/>
        <v>0</v>
      </c>
      <c r="I125" s="26">
        <f t="shared" si="48"/>
        <v>0</v>
      </c>
      <c r="J125" s="26">
        <f t="shared" si="48"/>
        <v>0</v>
      </c>
      <c r="K125" s="26">
        <f t="shared" si="48"/>
        <v>0</v>
      </c>
    </row>
    <row r="126" spans="1:11" ht="60" customHeight="1" x14ac:dyDescent="0.3">
      <c r="A126" s="116"/>
      <c r="B126" s="113"/>
      <c r="C126" s="56" t="s">
        <v>6</v>
      </c>
      <c r="D126" s="26">
        <f t="shared" si="41"/>
        <v>525362.32999999996</v>
      </c>
      <c r="E126" s="26">
        <v>0</v>
      </c>
      <c r="F126" s="26">
        <f>300000+225362.33</f>
        <v>525362.32999999996</v>
      </c>
      <c r="G126" s="26">
        <v>0</v>
      </c>
      <c r="H126" s="26">
        <v>0</v>
      </c>
      <c r="I126" s="26">
        <v>0</v>
      </c>
      <c r="J126" s="26">
        <v>0</v>
      </c>
      <c r="K126" s="26">
        <v>0</v>
      </c>
    </row>
    <row r="127" spans="1:11" ht="51" customHeight="1" x14ac:dyDescent="0.3">
      <c r="A127" s="117"/>
      <c r="B127" s="114"/>
      <c r="C127" s="56" t="s">
        <v>67</v>
      </c>
      <c r="D127" s="26">
        <f t="shared" si="41"/>
        <v>6822029.2999999998</v>
      </c>
      <c r="E127" s="26">
        <v>0</v>
      </c>
      <c r="F127" s="26">
        <v>6822029.2999999998</v>
      </c>
      <c r="G127" s="26">
        <v>0</v>
      </c>
      <c r="H127" s="26">
        <v>0</v>
      </c>
      <c r="I127" s="26">
        <v>0</v>
      </c>
      <c r="J127" s="26">
        <v>0</v>
      </c>
      <c r="K127" s="26">
        <v>0</v>
      </c>
    </row>
    <row r="128" spans="1:11" ht="184.5" customHeight="1" x14ac:dyDescent="0.3">
      <c r="A128" s="111" t="s">
        <v>104</v>
      </c>
      <c r="B128" s="15" t="s">
        <v>102</v>
      </c>
      <c r="C128" s="14" t="s">
        <v>67</v>
      </c>
      <c r="D128" s="26">
        <f t="shared" si="41"/>
        <v>4237300</v>
      </c>
      <c r="E128" s="26">
        <f>E129+E130+E131</f>
        <v>0</v>
      </c>
      <c r="F128" s="26">
        <f t="shared" ref="F128:J128" si="49">F129+F130+F131</f>
        <v>0</v>
      </c>
      <c r="G128" s="26">
        <f t="shared" si="49"/>
        <v>4237300</v>
      </c>
      <c r="H128" s="26">
        <f t="shared" si="49"/>
        <v>0</v>
      </c>
      <c r="I128" s="26">
        <f t="shared" si="49"/>
        <v>0</v>
      </c>
      <c r="J128" s="26">
        <f t="shared" si="49"/>
        <v>0</v>
      </c>
      <c r="K128" s="26"/>
    </row>
    <row r="129" spans="1:494" ht="42.75" customHeight="1" x14ac:dyDescent="0.3">
      <c r="A129" s="111"/>
      <c r="B129" s="15" t="s">
        <v>14</v>
      </c>
      <c r="C129" s="14" t="s">
        <v>67</v>
      </c>
      <c r="D129" s="26">
        <f t="shared" si="41"/>
        <v>3069154.04</v>
      </c>
      <c r="E129" s="26">
        <v>0</v>
      </c>
      <c r="F129" s="26">
        <v>0</v>
      </c>
      <c r="G129" s="26">
        <v>3069154.04</v>
      </c>
      <c r="H129" s="26">
        <v>0</v>
      </c>
      <c r="I129" s="26">
        <v>0</v>
      </c>
      <c r="J129" s="26">
        <v>0</v>
      </c>
      <c r="K129" s="26"/>
    </row>
    <row r="130" spans="1:494" ht="99" customHeight="1" x14ac:dyDescent="0.3">
      <c r="A130" s="111"/>
      <c r="B130" s="15" t="s">
        <v>105</v>
      </c>
      <c r="C130" s="14" t="s">
        <v>67</v>
      </c>
      <c r="D130" s="26">
        <f t="shared" si="41"/>
        <v>585315.48</v>
      </c>
      <c r="E130" s="26">
        <v>0</v>
      </c>
      <c r="F130" s="26">
        <v>0</v>
      </c>
      <c r="G130" s="26">
        <v>585315.48</v>
      </c>
      <c r="H130" s="26">
        <v>0</v>
      </c>
      <c r="I130" s="26">
        <v>0</v>
      </c>
      <c r="J130" s="26">
        <v>0</v>
      </c>
      <c r="K130" s="26">
        <v>0</v>
      </c>
    </row>
    <row r="131" spans="1:494" ht="60.75" customHeight="1" x14ac:dyDescent="0.3">
      <c r="A131" s="111"/>
      <c r="B131" s="15" t="s">
        <v>103</v>
      </c>
      <c r="C131" s="14" t="s">
        <v>67</v>
      </c>
      <c r="D131" s="26">
        <f t="shared" si="41"/>
        <v>582830.48</v>
      </c>
      <c r="E131" s="26">
        <v>0</v>
      </c>
      <c r="F131" s="26">
        <v>0</v>
      </c>
      <c r="G131" s="26">
        <v>582830.48</v>
      </c>
      <c r="H131" s="26">
        <v>0</v>
      </c>
      <c r="I131" s="26">
        <v>0</v>
      </c>
      <c r="J131" s="26">
        <v>0</v>
      </c>
      <c r="K131" s="26">
        <v>0</v>
      </c>
    </row>
    <row r="132" spans="1:494" ht="98.25" customHeight="1" x14ac:dyDescent="0.3">
      <c r="A132" s="57" t="s">
        <v>111</v>
      </c>
      <c r="B132" s="15" t="s">
        <v>110</v>
      </c>
      <c r="C132" s="33" t="s">
        <v>6</v>
      </c>
      <c r="D132" s="26">
        <f t="shared" si="41"/>
        <v>11265619.279999999</v>
      </c>
      <c r="E132" s="26">
        <v>0</v>
      </c>
      <c r="F132" s="26">
        <v>0</v>
      </c>
      <c r="G132" s="26">
        <v>0</v>
      </c>
      <c r="H132" s="26">
        <v>3342102.06</v>
      </c>
      <c r="I132" s="26">
        <f>4923517.22+2100000+300000+600000</f>
        <v>7923517.2199999997</v>
      </c>
      <c r="J132" s="26">
        <v>0</v>
      </c>
      <c r="K132" s="26">
        <v>0</v>
      </c>
      <c r="L132" s="30"/>
      <c r="M132" s="30"/>
      <c r="N132" s="30"/>
      <c r="O132" s="30"/>
      <c r="P132" s="30"/>
      <c r="Q132" s="30"/>
      <c r="R132" s="30"/>
      <c r="S132" s="30"/>
      <c r="T132" s="34"/>
      <c r="U132" s="34"/>
      <c r="V132" s="34"/>
      <c r="W132" s="34"/>
      <c r="X132" s="34"/>
      <c r="Y132" s="34"/>
      <c r="Z132" s="30"/>
      <c r="AA132" s="30"/>
      <c r="AB132" s="30"/>
      <c r="AC132" s="30"/>
      <c r="AD132" s="30"/>
      <c r="AE132" s="30"/>
      <c r="AF132" s="30"/>
      <c r="AG132" s="30"/>
      <c r="AH132" s="34"/>
      <c r="AI132" s="34"/>
      <c r="AJ132" s="34"/>
      <c r="AK132" s="34"/>
      <c r="AL132" s="34"/>
      <c r="AM132" s="34"/>
      <c r="AN132" s="30"/>
      <c r="AO132" s="30"/>
      <c r="AP132" s="30"/>
      <c r="AQ132" s="30"/>
      <c r="AR132" s="30"/>
      <c r="AS132" s="30"/>
      <c r="AT132" s="30"/>
      <c r="AU132" s="30"/>
      <c r="AV132" s="34"/>
      <c r="AW132" s="34"/>
      <c r="AX132" s="34"/>
      <c r="AY132" s="34"/>
      <c r="AZ132" s="34"/>
      <c r="BA132" s="34"/>
      <c r="BB132" s="30"/>
      <c r="BC132" s="30"/>
      <c r="BD132" s="30"/>
      <c r="BE132" s="30"/>
      <c r="BF132" s="30"/>
      <c r="BG132" s="30"/>
      <c r="BH132" s="30"/>
      <c r="BI132" s="30"/>
      <c r="BJ132" s="34"/>
      <c r="BK132" s="34"/>
      <c r="BL132" s="34"/>
      <c r="BM132" s="34"/>
      <c r="BN132" s="34"/>
      <c r="BO132" s="34"/>
      <c r="BP132" s="30"/>
      <c r="BQ132" s="30"/>
      <c r="BR132" s="30"/>
      <c r="BS132" s="30"/>
      <c r="BT132" s="30"/>
      <c r="BU132" s="30"/>
      <c r="BV132" s="30"/>
      <c r="BW132" s="30"/>
      <c r="BX132" s="34"/>
      <c r="BY132" s="34"/>
      <c r="BZ132" s="34"/>
      <c r="CA132" s="34"/>
      <c r="CB132" s="34"/>
      <c r="CC132" s="34"/>
      <c r="CD132" s="30"/>
      <c r="CE132" s="30"/>
      <c r="CF132" s="30"/>
      <c r="CG132" s="30"/>
      <c r="CH132" s="30"/>
      <c r="CI132" s="30"/>
      <c r="CJ132" s="30"/>
      <c r="CK132" s="30"/>
      <c r="CL132" s="34"/>
      <c r="CM132" s="34"/>
      <c r="CN132" s="34"/>
      <c r="CO132" s="34"/>
      <c r="CP132" s="34"/>
      <c r="CQ132" s="34"/>
      <c r="CR132" s="30"/>
      <c r="CS132" s="30"/>
      <c r="CT132" s="30"/>
      <c r="CU132" s="30"/>
      <c r="CV132" s="30"/>
      <c r="CW132" s="30"/>
      <c r="CX132" s="30"/>
      <c r="CY132" s="30"/>
      <c r="CZ132" s="34"/>
      <c r="DA132" s="34"/>
      <c r="DB132" s="34"/>
      <c r="DC132" s="34"/>
      <c r="DD132" s="34"/>
      <c r="DE132" s="34"/>
      <c r="DF132" s="30"/>
      <c r="DG132" s="30"/>
      <c r="DH132" s="30"/>
      <c r="DI132" s="30"/>
      <c r="DJ132" s="30"/>
      <c r="DK132" s="30"/>
      <c r="DL132" s="30"/>
      <c r="DM132" s="30"/>
      <c r="DN132" s="34"/>
      <c r="DO132" s="34"/>
      <c r="DP132" s="34"/>
      <c r="DQ132" s="34"/>
      <c r="DR132" s="34"/>
      <c r="DS132" s="34"/>
      <c r="DT132" s="30"/>
      <c r="DU132" s="30"/>
      <c r="DV132" s="30"/>
      <c r="DW132" s="30"/>
      <c r="DX132" s="30"/>
      <c r="DY132" s="30"/>
      <c r="DZ132" s="30"/>
      <c r="EA132" s="30"/>
      <c r="EB132" s="34"/>
      <c r="EC132" s="34"/>
      <c r="ED132" s="34"/>
      <c r="EE132" s="34"/>
      <c r="EF132" s="34"/>
      <c r="EG132" s="34"/>
      <c r="EH132" s="30"/>
      <c r="EI132" s="30"/>
      <c r="EJ132" s="30"/>
      <c r="EK132" s="30"/>
      <c r="EL132" s="30"/>
      <c r="EM132" s="30"/>
      <c r="EN132" s="30"/>
      <c r="EO132" s="30"/>
      <c r="EP132" s="34"/>
      <c r="EQ132" s="34"/>
      <c r="ER132" s="34"/>
      <c r="ES132" s="34"/>
      <c r="ET132" s="34"/>
      <c r="EU132" s="34"/>
      <c r="EV132" s="30"/>
      <c r="EW132" s="30"/>
      <c r="EX132" s="30"/>
      <c r="EY132" s="30"/>
      <c r="EZ132" s="30"/>
      <c r="FA132" s="30"/>
      <c r="FB132" s="30"/>
      <c r="FC132" s="30"/>
      <c r="FD132" s="34"/>
      <c r="FE132" s="34"/>
      <c r="FF132" s="34"/>
      <c r="FG132" s="34"/>
      <c r="FH132" s="34"/>
      <c r="FI132" s="34"/>
      <c r="FJ132" s="30"/>
      <c r="FK132" s="30"/>
      <c r="FL132" s="30"/>
      <c r="FM132" s="30"/>
      <c r="FN132" s="30"/>
      <c r="FO132" s="30"/>
      <c r="FP132" s="30"/>
      <c r="FQ132" s="30"/>
      <c r="FR132" s="34"/>
      <c r="FS132" s="34"/>
      <c r="FT132" s="34"/>
      <c r="FU132" s="34"/>
      <c r="FV132" s="34"/>
      <c r="FW132" s="34"/>
      <c r="FX132" s="30"/>
      <c r="FY132" s="30"/>
      <c r="FZ132" s="30"/>
      <c r="GA132" s="30"/>
      <c r="GB132" s="30"/>
      <c r="GC132" s="30"/>
      <c r="GD132" s="30"/>
      <c r="GE132" s="30"/>
      <c r="GF132" s="34"/>
      <c r="GG132" s="34"/>
      <c r="GH132" s="34"/>
      <c r="GI132" s="34"/>
      <c r="GJ132" s="34"/>
      <c r="GK132" s="34"/>
      <c r="GL132" s="30"/>
      <c r="GM132" s="30"/>
      <c r="GN132" s="30"/>
      <c r="GO132" s="30"/>
      <c r="GP132" s="30"/>
      <c r="GQ132" s="30"/>
      <c r="GR132" s="30"/>
      <c r="GS132" s="30"/>
      <c r="GT132" s="34"/>
      <c r="GU132" s="34"/>
      <c r="GV132" s="34"/>
      <c r="GW132" s="34"/>
      <c r="GX132" s="34"/>
      <c r="GY132" s="34"/>
      <c r="GZ132" s="30"/>
      <c r="HA132" s="30"/>
      <c r="HB132" s="30"/>
      <c r="HC132" s="30"/>
      <c r="HD132" s="30"/>
      <c r="HE132" s="30"/>
      <c r="HF132" s="30"/>
      <c r="HG132" s="30"/>
      <c r="HH132" s="34"/>
      <c r="HI132" s="34"/>
      <c r="HJ132" s="34"/>
      <c r="HK132" s="34"/>
      <c r="HL132" s="34"/>
      <c r="HM132" s="34"/>
      <c r="HN132" s="30"/>
      <c r="HO132" s="30"/>
      <c r="HP132" s="30"/>
      <c r="HQ132" s="30"/>
      <c r="HR132" s="30"/>
      <c r="HS132" s="30"/>
      <c r="HT132" s="30"/>
      <c r="HU132" s="30"/>
      <c r="HV132" s="34"/>
      <c r="HW132" s="34"/>
      <c r="HX132" s="34"/>
      <c r="HY132" s="34"/>
      <c r="HZ132" s="34"/>
      <c r="IA132" s="34"/>
      <c r="IB132" s="30"/>
      <c r="IC132" s="30"/>
      <c r="ID132" s="30"/>
      <c r="IE132" s="30"/>
      <c r="IF132" s="30"/>
      <c r="IG132" s="30"/>
      <c r="IH132" s="30"/>
      <c r="II132" s="30"/>
      <c r="IJ132" s="34"/>
      <c r="IK132" s="34"/>
      <c r="IL132" s="34"/>
      <c r="IM132" s="34"/>
      <c r="IN132" s="34"/>
      <c r="IO132" s="34"/>
      <c r="IP132" s="30"/>
      <c r="IQ132" s="30"/>
      <c r="IR132" s="30"/>
      <c r="IS132" s="30"/>
      <c r="IT132" s="30"/>
      <c r="IU132" s="30"/>
      <c r="IV132" s="30"/>
      <c r="IW132" s="30"/>
      <c r="IX132" s="34"/>
      <c r="IY132" s="34"/>
      <c r="IZ132" s="34"/>
      <c r="JA132" s="34"/>
      <c r="JB132" s="34"/>
      <c r="JC132" s="34"/>
      <c r="JD132" s="30"/>
      <c r="JE132" s="30"/>
      <c r="JF132" s="30"/>
      <c r="JG132" s="30"/>
      <c r="JH132" s="30"/>
      <c r="JI132" s="30"/>
      <c r="JJ132" s="30"/>
      <c r="JK132" s="30"/>
      <c r="JL132" s="34"/>
      <c r="JM132" s="34"/>
      <c r="JN132" s="34"/>
      <c r="JO132" s="34"/>
      <c r="JP132" s="34"/>
      <c r="JQ132" s="34"/>
      <c r="JR132" s="30"/>
      <c r="JS132" s="30"/>
      <c r="JT132" s="30"/>
      <c r="JU132" s="30"/>
      <c r="JV132" s="30"/>
      <c r="JW132" s="30"/>
      <c r="JX132" s="30"/>
      <c r="JY132" s="30"/>
      <c r="JZ132" s="34"/>
      <c r="KA132" s="34"/>
      <c r="KB132" s="34"/>
      <c r="KC132" s="34"/>
      <c r="KD132" s="34"/>
      <c r="KE132" s="34"/>
      <c r="KF132" s="30"/>
      <c r="KG132" s="30"/>
      <c r="KH132" s="30"/>
      <c r="KI132" s="30"/>
      <c r="KJ132" s="30"/>
      <c r="KK132" s="30"/>
      <c r="KL132" s="30"/>
      <c r="KM132" s="30"/>
      <c r="KN132" s="34"/>
      <c r="KO132" s="34"/>
      <c r="KP132" s="34"/>
      <c r="KQ132" s="34"/>
      <c r="KR132" s="34"/>
      <c r="KS132" s="34"/>
      <c r="KT132" s="30"/>
      <c r="KU132" s="30"/>
      <c r="KV132" s="30"/>
      <c r="KW132" s="30"/>
      <c r="KX132" s="30"/>
      <c r="KY132" s="30"/>
      <c r="KZ132" s="30"/>
      <c r="LA132" s="30"/>
      <c r="LB132" s="34"/>
      <c r="LC132" s="34"/>
      <c r="LD132" s="34"/>
      <c r="LE132" s="34"/>
      <c r="LF132" s="34"/>
      <c r="LG132" s="34"/>
      <c r="LH132" s="30"/>
      <c r="LI132" s="30"/>
      <c r="LJ132" s="30"/>
      <c r="LK132" s="30"/>
      <c r="LL132" s="30"/>
      <c r="LM132" s="30"/>
      <c r="LN132" s="30"/>
      <c r="LO132" s="30"/>
      <c r="LP132" s="34"/>
      <c r="LQ132" s="34"/>
      <c r="LR132" s="34"/>
      <c r="LS132" s="34"/>
      <c r="LT132" s="34"/>
      <c r="LU132" s="34"/>
      <c r="LV132" s="30"/>
      <c r="LW132" s="30"/>
      <c r="LX132" s="30"/>
      <c r="LY132" s="30"/>
      <c r="LZ132" s="30"/>
      <c r="MA132" s="30"/>
      <c r="MB132" s="30"/>
      <c r="MC132" s="30"/>
      <c r="MD132" s="34"/>
      <c r="ME132" s="34"/>
      <c r="MF132" s="34"/>
      <c r="MG132" s="34"/>
      <c r="MH132" s="34"/>
      <c r="MI132" s="34"/>
      <c r="MJ132" s="30"/>
      <c r="MK132" s="30"/>
      <c r="ML132" s="30"/>
      <c r="MM132" s="30"/>
      <c r="MN132" s="30"/>
      <c r="MO132" s="30"/>
      <c r="MP132" s="30"/>
      <c r="MQ132" s="30"/>
      <c r="MR132" s="34"/>
      <c r="MS132" s="34"/>
      <c r="MT132" s="34"/>
      <c r="MU132" s="34"/>
      <c r="MV132" s="34"/>
      <c r="MW132" s="34"/>
      <c r="MX132" s="30"/>
      <c r="MY132" s="30"/>
      <c r="MZ132" s="30"/>
      <c r="NA132" s="30"/>
      <c r="NB132" s="30"/>
      <c r="NC132" s="30"/>
      <c r="ND132" s="30"/>
      <c r="NE132" s="30"/>
      <c r="NF132" s="34"/>
      <c r="NG132" s="34"/>
      <c r="NH132" s="34"/>
      <c r="NI132" s="34"/>
      <c r="NJ132" s="34"/>
      <c r="NK132" s="34"/>
      <c r="NL132" s="30"/>
      <c r="NM132" s="30"/>
      <c r="NN132" s="30"/>
      <c r="NO132" s="30"/>
      <c r="NP132" s="30"/>
      <c r="NQ132" s="30"/>
      <c r="NR132" s="30"/>
      <c r="NS132" s="30"/>
      <c r="NT132" s="34"/>
      <c r="NU132" s="34"/>
      <c r="NV132" s="34"/>
      <c r="NW132" s="34"/>
      <c r="NX132" s="34"/>
      <c r="NY132" s="34"/>
      <c r="NZ132" s="30"/>
      <c r="OA132" s="30"/>
      <c r="OB132" s="30"/>
      <c r="OC132" s="30"/>
      <c r="OD132" s="30"/>
      <c r="OE132" s="30"/>
      <c r="OF132" s="30"/>
      <c r="OG132" s="30"/>
      <c r="OH132" s="34"/>
      <c r="OI132" s="34"/>
      <c r="OJ132" s="34"/>
      <c r="OK132" s="34"/>
      <c r="OL132" s="34"/>
      <c r="OM132" s="34"/>
      <c r="ON132" s="30"/>
      <c r="OO132" s="30"/>
      <c r="OP132" s="30"/>
      <c r="OQ132" s="30"/>
      <c r="OR132" s="30"/>
      <c r="OS132" s="30"/>
      <c r="OT132" s="30"/>
      <c r="OU132" s="30"/>
      <c r="OV132" s="34"/>
      <c r="OW132" s="34"/>
      <c r="OX132" s="34"/>
      <c r="OY132" s="34"/>
      <c r="OZ132" s="34"/>
      <c r="PA132" s="34"/>
      <c r="PB132" s="30"/>
      <c r="PC132" s="30"/>
      <c r="PD132" s="30"/>
      <c r="PE132" s="30"/>
      <c r="PF132" s="30"/>
      <c r="PG132" s="30"/>
      <c r="PH132" s="30"/>
      <c r="PI132" s="30"/>
      <c r="PJ132" s="34"/>
      <c r="PK132" s="34"/>
      <c r="PL132" s="34"/>
      <c r="PM132" s="34"/>
      <c r="PN132" s="34"/>
      <c r="PO132" s="34"/>
      <c r="PP132" s="30"/>
      <c r="PQ132" s="30"/>
      <c r="PR132" s="30"/>
      <c r="PS132" s="30"/>
      <c r="PT132" s="30"/>
      <c r="PU132" s="30"/>
      <c r="PV132" s="30"/>
      <c r="PW132" s="30"/>
      <c r="PX132" s="34"/>
      <c r="PY132" s="34"/>
      <c r="PZ132" s="34"/>
      <c r="QA132" s="34"/>
      <c r="QB132" s="34"/>
      <c r="QC132" s="34"/>
      <c r="QD132" s="30"/>
      <c r="QE132" s="30"/>
      <c r="QF132" s="30"/>
      <c r="QG132" s="30"/>
      <c r="QH132" s="30"/>
      <c r="QI132" s="30"/>
      <c r="QJ132" s="30"/>
      <c r="QK132" s="30"/>
      <c r="QL132" s="34"/>
      <c r="QM132" s="34"/>
      <c r="QN132" s="34"/>
      <c r="QO132" s="34"/>
      <c r="QP132" s="34"/>
      <c r="QQ132" s="34"/>
      <c r="QR132" s="30"/>
      <c r="QS132" s="30"/>
      <c r="QT132" s="30"/>
      <c r="QU132" s="30"/>
      <c r="QV132" s="30"/>
      <c r="QW132" s="30"/>
      <c r="QX132" s="30"/>
      <c r="QY132" s="30"/>
      <c r="QZ132" s="34"/>
      <c r="RA132" s="34"/>
      <c r="RB132" s="34"/>
      <c r="RC132" s="34"/>
      <c r="RD132" s="34"/>
      <c r="RE132" s="34"/>
      <c r="RF132" s="30"/>
      <c r="RG132" s="30"/>
      <c r="RH132" s="30"/>
      <c r="RI132" s="30"/>
      <c r="RJ132" s="30"/>
      <c r="RK132" s="30"/>
      <c r="RL132" s="30"/>
      <c r="RM132" s="30"/>
      <c r="RN132" s="34"/>
      <c r="RO132" s="34"/>
      <c r="RP132" s="34"/>
      <c r="RQ132" s="34"/>
      <c r="RR132" s="34"/>
      <c r="RS132" s="34"/>
      <c r="RT132" s="30"/>
      <c r="RU132" s="30"/>
      <c r="RV132" s="30"/>
      <c r="RW132" s="30"/>
      <c r="RX132" s="30"/>
      <c r="RY132" s="30"/>
      <c r="RZ132" s="30"/>
    </row>
    <row r="133" spans="1:494" ht="80.25" customHeight="1" thickBot="1" x14ac:dyDescent="0.35">
      <c r="A133" s="51" t="s">
        <v>129</v>
      </c>
      <c r="B133" s="35" t="s">
        <v>123</v>
      </c>
      <c r="C133" s="36" t="s">
        <v>6</v>
      </c>
      <c r="D133" s="26">
        <f t="shared" si="41"/>
        <v>109566521.80000001</v>
      </c>
      <c r="E133" s="26">
        <v>0</v>
      </c>
      <c r="F133" s="26">
        <v>0</v>
      </c>
      <c r="G133" s="26">
        <v>0</v>
      </c>
      <c r="H133" s="26">
        <v>0</v>
      </c>
      <c r="I133" s="26">
        <f>37471511.04-567332.3</f>
        <v>36904178.740000002</v>
      </c>
      <c r="J133" s="26">
        <v>36331171.530000001</v>
      </c>
      <c r="K133" s="26">
        <v>36331171.530000001</v>
      </c>
      <c r="L133" s="30"/>
      <c r="M133" s="30"/>
      <c r="N133" s="30"/>
      <c r="O133" s="30"/>
      <c r="P133" s="30"/>
      <c r="Q133" s="30"/>
      <c r="R133" s="30"/>
      <c r="S133" s="30"/>
      <c r="T133" s="34"/>
      <c r="U133" s="34"/>
      <c r="V133" s="34"/>
      <c r="W133" s="34"/>
      <c r="X133" s="34"/>
      <c r="Y133" s="34"/>
      <c r="Z133" s="30"/>
      <c r="AA133" s="30"/>
      <c r="AB133" s="30"/>
      <c r="AC133" s="30"/>
      <c r="AD133" s="30"/>
      <c r="AE133" s="30"/>
      <c r="AF133" s="30"/>
      <c r="AG133" s="30"/>
      <c r="AH133" s="34"/>
      <c r="AI133" s="34"/>
      <c r="AJ133" s="34"/>
      <c r="AK133" s="34"/>
      <c r="AL133" s="34"/>
      <c r="AM133" s="34"/>
      <c r="AN133" s="30"/>
      <c r="AO133" s="30"/>
      <c r="AP133" s="30"/>
      <c r="AQ133" s="30"/>
      <c r="AR133" s="30"/>
      <c r="AS133" s="30"/>
      <c r="AT133" s="30"/>
      <c r="AU133" s="30"/>
      <c r="AV133" s="34"/>
      <c r="AW133" s="34"/>
      <c r="AX133" s="34"/>
      <c r="AY133" s="34"/>
      <c r="AZ133" s="34"/>
      <c r="BA133" s="34"/>
      <c r="BB133" s="30"/>
      <c r="BC133" s="30"/>
      <c r="BD133" s="30"/>
      <c r="BE133" s="30"/>
      <c r="BF133" s="30"/>
      <c r="BG133" s="30"/>
      <c r="BH133" s="30"/>
      <c r="BI133" s="30"/>
      <c r="BJ133" s="34"/>
      <c r="BK133" s="34"/>
      <c r="BL133" s="34"/>
      <c r="BM133" s="34"/>
      <c r="BN133" s="34"/>
      <c r="BO133" s="34"/>
      <c r="BP133" s="30"/>
      <c r="BQ133" s="30"/>
      <c r="BR133" s="30"/>
      <c r="BS133" s="30"/>
      <c r="BT133" s="30"/>
      <c r="BU133" s="30"/>
      <c r="BV133" s="30"/>
      <c r="BW133" s="30"/>
      <c r="BX133" s="34"/>
      <c r="BY133" s="34"/>
      <c r="BZ133" s="34"/>
      <c r="CA133" s="34"/>
      <c r="CB133" s="34"/>
      <c r="CC133" s="34"/>
      <c r="CD133" s="30"/>
      <c r="CE133" s="30"/>
      <c r="CF133" s="30"/>
      <c r="CG133" s="30"/>
      <c r="CH133" s="30"/>
      <c r="CI133" s="30"/>
      <c r="CJ133" s="30"/>
      <c r="CK133" s="30"/>
      <c r="CL133" s="34"/>
      <c r="CM133" s="34"/>
      <c r="CN133" s="34"/>
      <c r="CO133" s="34"/>
      <c r="CP133" s="34"/>
      <c r="CQ133" s="34"/>
      <c r="CR133" s="30"/>
      <c r="CS133" s="30"/>
      <c r="CT133" s="30"/>
      <c r="CU133" s="30"/>
      <c r="CV133" s="30"/>
      <c r="CW133" s="30"/>
      <c r="CX133" s="30"/>
      <c r="CY133" s="30"/>
      <c r="CZ133" s="34"/>
      <c r="DA133" s="34"/>
      <c r="DB133" s="34"/>
      <c r="DC133" s="34"/>
      <c r="DD133" s="34"/>
      <c r="DE133" s="34"/>
      <c r="DF133" s="30"/>
      <c r="DG133" s="30"/>
      <c r="DH133" s="30"/>
      <c r="DI133" s="30"/>
      <c r="DJ133" s="30"/>
      <c r="DK133" s="30"/>
      <c r="DL133" s="30"/>
      <c r="DM133" s="30"/>
      <c r="DN133" s="34"/>
      <c r="DO133" s="34"/>
      <c r="DP133" s="34"/>
      <c r="DQ133" s="34"/>
      <c r="DR133" s="34"/>
      <c r="DS133" s="34"/>
      <c r="DT133" s="30"/>
      <c r="DU133" s="30"/>
      <c r="DV133" s="30"/>
      <c r="DW133" s="30"/>
      <c r="DX133" s="30"/>
      <c r="DY133" s="30"/>
      <c r="DZ133" s="30"/>
      <c r="EA133" s="30"/>
      <c r="EB133" s="34"/>
      <c r="EC133" s="34"/>
      <c r="ED133" s="34"/>
      <c r="EE133" s="34"/>
      <c r="EF133" s="34"/>
      <c r="EG133" s="34"/>
      <c r="EH133" s="30"/>
      <c r="EI133" s="30"/>
      <c r="EJ133" s="30"/>
      <c r="EK133" s="30"/>
      <c r="EL133" s="30"/>
      <c r="EM133" s="30"/>
      <c r="EN133" s="30"/>
      <c r="EO133" s="30"/>
      <c r="EP133" s="34"/>
      <c r="EQ133" s="34"/>
      <c r="ER133" s="34"/>
      <c r="ES133" s="34"/>
      <c r="ET133" s="34"/>
      <c r="EU133" s="34"/>
      <c r="EV133" s="30"/>
      <c r="EW133" s="30"/>
      <c r="EX133" s="30"/>
      <c r="EY133" s="30"/>
      <c r="EZ133" s="30"/>
      <c r="FA133" s="30"/>
      <c r="FB133" s="30"/>
      <c r="FC133" s="30"/>
      <c r="FD133" s="34"/>
      <c r="FE133" s="34"/>
      <c r="FF133" s="34"/>
      <c r="FG133" s="34"/>
      <c r="FH133" s="34"/>
      <c r="FI133" s="34"/>
      <c r="FJ133" s="30"/>
      <c r="FK133" s="30"/>
      <c r="FL133" s="30"/>
      <c r="FM133" s="30"/>
      <c r="FN133" s="30"/>
      <c r="FO133" s="30"/>
      <c r="FP133" s="30"/>
      <c r="FQ133" s="30"/>
      <c r="FR133" s="34"/>
      <c r="FS133" s="34"/>
      <c r="FT133" s="34"/>
      <c r="FU133" s="34"/>
      <c r="FV133" s="34"/>
      <c r="FW133" s="34"/>
      <c r="FX133" s="30"/>
      <c r="FY133" s="30"/>
      <c r="FZ133" s="30"/>
      <c r="GA133" s="30"/>
      <c r="GB133" s="30"/>
      <c r="GC133" s="30"/>
      <c r="GD133" s="30"/>
      <c r="GE133" s="30"/>
      <c r="GF133" s="34"/>
      <c r="GG133" s="34"/>
      <c r="GH133" s="34"/>
      <c r="GI133" s="34"/>
      <c r="GJ133" s="34"/>
      <c r="GK133" s="34"/>
      <c r="GL133" s="30"/>
      <c r="GM133" s="30"/>
      <c r="GN133" s="30"/>
      <c r="GO133" s="30"/>
      <c r="GP133" s="30"/>
      <c r="GQ133" s="30"/>
      <c r="GR133" s="30"/>
      <c r="GS133" s="30"/>
      <c r="GT133" s="34"/>
      <c r="GU133" s="34"/>
      <c r="GV133" s="34"/>
      <c r="GW133" s="34"/>
      <c r="GX133" s="34"/>
      <c r="GY133" s="34"/>
      <c r="GZ133" s="30"/>
      <c r="HA133" s="30"/>
      <c r="HB133" s="30"/>
      <c r="HC133" s="30"/>
      <c r="HD133" s="30"/>
      <c r="HE133" s="30"/>
      <c r="HF133" s="30"/>
      <c r="HG133" s="30"/>
      <c r="HH133" s="34"/>
      <c r="HI133" s="34"/>
      <c r="HJ133" s="34"/>
      <c r="HK133" s="34"/>
      <c r="HL133" s="34"/>
      <c r="HM133" s="34"/>
      <c r="HN133" s="30"/>
      <c r="HO133" s="30"/>
      <c r="HP133" s="30"/>
      <c r="HQ133" s="30"/>
      <c r="HR133" s="30"/>
      <c r="HS133" s="30"/>
      <c r="HT133" s="30"/>
      <c r="HU133" s="30"/>
      <c r="HV133" s="34"/>
      <c r="HW133" s="34"/>
      <c r="HX133" s="34"/>
      <c r="HY133" s="34"/>
      <c r="HZ133" s="34"/>
      <c r="IA133" s="34"/>
      <c r="IB133" s="30"/>
      <c r="IC133" s="30"/>
      <c r="ID133" s="30"/>
      <c r="IE133" s="30"/>
      <c r="IF133" s="30"/>
      <c r="IG133" s="30"/>
      <c r="IH133" s="30"/>
      <c r="II133" s="30"/>
      <c r="IJ133" s="34"/>
      <c r="IK133" s="34"/>
      <c r="IL133" s="34"/>
      <c r="IM133" s="34"/>
      <c r="IN133" s="34"/>
      <c r="IO133" s="34"/>
      <c r="IP133" s="30"/>
      <c r="IQ133" s="30"/>
      <c r="IR133" s="30"/>
      <c r="IS133" s="30"/>
      <c r="IT133" s="30"/>
      <c r="IU133" s="30"/>
      <c r="IV133" s="30"/>
      <c r="IW133" s="30"/>
      <c r="IX133" s="34"/>
      <c r="IY133" s="34"/>
      <c r="IZ133" s="34"/>
      <c r="JA133" s="34"/>
      <c r="JB133" s="34"/>
      <c r="JC133" s="34"/>
      <c r="JD133" s="30"/>
      <c r="JE133" s="30"/>
      <c r="JF133" s="30"/>
      <c r="JG133" s="30"/>
      <c r="JH133" s="30"/>
      <c r="JI133" s="30"/>
      <c r="JJ133" s="30"/>
      <c r="JK133" s="30"/>
      <c r="JL133" s="34"/>
      <c r="JM133" s="34"/>
      <c r="JN133" s="34"/>
      <c r="JO133" s="34"/>
      <c r="JP133" s="34"/>
      <c r="JQ133" s="34"/>
      <c r="JR133" s="30"/>
      <c r="JS133" s="30"/>
      <c r="JT133" s="30"/>
      <c r="JU133" s="30"/>
      <c r="JV133" s="30"/>
      <c r="JW133" s="30"/>
      <c r="JX133" s="30"/>
      <c r="JY133" s="30"/>
      <c r="JZ133" s="34"/>
      <c r="KA133" s="34"/>
      <c r="KB133" s="34"/>
      <c r="KC133" s="34"/>
      <c r="KD133" s="34"/>
      <c r="KE133" s="34"/>
      <c r="KF133" s="30"/>
      <c r="KG133" s="30"/>
      <c r="KH133" s="30"/>
      <c r="KI133" s="30"/>
      <c r="KJ133" s="30"/>
      <c r="KK133" s="30"/>
      <c r="KL133" s="30"/>
      <c r="KM133" s="30"/>
      <c r="KN133" s="34"/>
      <c r="KO133" s="34"/>
      <c r="KP133" s="34"/>
      <c r="KQ133" s="34"/>
      <c r="KR133" s="34"/>
      <c r="KS133" s="34"/>
      <c r="KT133" s="30"/>
      <c r="KU133" s="30"/>
      <c r="KV133" s="30"/>
      <c r="KW133" s="30"/>
      <c r="KX133" s="30"/>
      <c r="KY133" s="30"/>
      <c r="KZ133" s="30"/>
      <c r="LA133" s="30"/>
      <c r="LB133" s="34"/>
      <c r="LC133" s="34"/>
      <c r="LD133" s="34"/>
      <c r="LE133" s="34"/>
      <c r="LF133" s="34"/>
      <c r="LG133" s="34"/>
      <c r="LH133" s="30"/>
      <c r="LI133" s="30"/>
      <c r="LJ133" s="30"/>
      <c r="LK133" s="30"/>
      <c r="LL133" s="30"/>
      <c r="LM133" s="30"/>
      <c r="LN133" s="30"/>
      <c r="LO133" s="30"/>
      <c r="LP133" s="34"/>
      <c r="LQ133" s="34"/>
      <c r="LR133" s="34"/>
      <c r="LS133" s="34"/>
      <c r="LT133" s="34"/>
      <c r="LU133" s="34"/>
      <c r="LV133" s="30"/>
      <c r="LW133" s="30"/>
      <c r="LX133" s="30"/>
      <c r="LY133" s="30"/>
      <c r="LZ133" s="30"/>
      <c r="MA133" s="30"/>
      <c r="MB133" s="30"/>
      <c r="MC133" s="30"/>
      <c r="MD133" s="34"/>
      <c r="ME133" s="34"/>
      <c r="MF133" s="34"/>
      <c r="MG133" s="34"/>
      <c r="MH133" s="34"/>
      <c r="MI133" s="34"/>
      <c r="MJ133" s="30"/>
      <c r="MK133" s="30"/>
      <c r="ML133" s="30"/>
      <c r="MM133" s="30"/>
      <c r="MN133" s="30"/>
      <c r="MO133" s="30"/>
      <c r="MP133" s="30"/>
      <c r="MQ133" s="30"/>
      <c r="MR133" s="34"/>
      <c r="MS133" s="34"/>
      <c r="MT133" s="34"/>
      <c r="MU133" s="34"/>
      <c r="MV133" s="34"/>
      <c r="MW133" s="34"/>
      <c r="MX133" s="30"/>
      <c r="MY133" s="30"/>
      <c r="MZ133" s="30"/>
      <c r="NA133" s="30"/>
      <c r="NB133" s="30"/>
      <c r="NC133" s="30"/>
      <c r="ND133" s="30"/>
      <c r="NE133" s="30"/>
      <c r="NF133" s="34"/>
      <c r="NG133" s="34"/>
      <c r="NH133" s="34"/>
      <c r="NI133" s="34"/>
      <c r="NJ133" s="34"/>
      <c r="NK133" s="34"/>
      <c r="NL133" s="30"/>
      <c r="NM133" s="30"/>
      <c r="NN133" s="30"/>
      <c r="NO133" s="30"/>
      <c r="NP133" s="30"/>
      <c r="NQ133" s="30"/>
      <c r="NR133" s="30"/>
      <c r="NS133" s="30"/>
      <c r="NT133" s="34"/>
      <c r="NU133" s="34"/>
      <c r="NV133" s="34"/>
      <c r="NW133" s="34"/>
      <c r="NX133" s="34"/>
      <c r="NY133" s="34"/>
      <c r="NZ133" s="30"/>
      <c r="OA133" s="30"/>
      <c r="OB133" s="30"/>
      <c r="OC133" s="30"/>
      <c r="OD133" s="30"/>
      <c r="OE133" s="30"/>
      <c r="OF133" s="30"/>
      <c r="OG133" s="30"/>
      <c r="OH133" s="34"/>
      <c r="OI133" s="34"/>
      <c r="OJ133" s="34"/>
      <c r="OK133" s="34"/>
      <c r="OL133" s="34"/>
      <c r="OM133" s="34"/>
      <c r="ON133" s="30"/>
      <c r="OO133" s="30"/>
      <c r="OP133" s="30"/>
      <c r="OQ133" s="30"/>
      <c r="OR133" s="30"/>
      <c r="OS133" s="30"/>
      <c r="OT133" s="30"/>
      <c r="OU133" s="30"/>
      <c r="OV133" s="34"/>
      <c r="OW133" s="34"/>
      <c r="OX133" s="34"/>
      <c r="OY133" s="34"/>
      <c r="OZ133" s="34"/>
      <c r="PA133" s="34"/>
      <c r="PB133" s="30"/>
      <c r="PC133" s="30"/>
      <c r="PD133" s="30"/>
      <c r="PE133" s="30"/>
      <c r="PF133" s="30"/>
      <c r="PG133" s="30"/>
      <c r="PH133" s="30"/>
      <c r="PI133" s="30"/>
      <c r="PJ133" s="34"/>
      <c r="PK133" s="34"/>
      <c r="PL133" s="34"/>
      <c r="PM133" s="34"/>
      <c r="PN133" s="34"/>
      <c r="PO133" s="34"/>
      <c r="PP133" s="30"/>
      <c r="PQ133" s="30"/>
      <c r="PR133" s="30"/>
      <c r="PS133" s="30"/>
      <c r="PT133" s="30"/>
      <c r="PU133" s="30"/>
      <c r="PV133" s="30"/>
      <c r="PW133" s="30"/>
      <c r="PX133" s="34"/>
      <c r="PY133" s="34"/>
      <c r="PZ133" s="34"/>
      <c r="QA133" s="34"/>
      <c r="QB133" s="34"/>
      <c r="QC133" s="34"/>
      <c r="QD133" s="30"/>
      <c r="QE133" s="30"/>
      <c r="QF133" s="30"/>
      <c r="QG133" s="30"/>
      <c r="QH133" s="30"/>
      <c r="QI133" s="30"/>
      <c r="QJ133" s="30"/>
      <c r="QK133" s="30"/>
      <c r="QL133" s="34"/>
      <c r="QM133" s="34"/>
      <c r="QN133" s="34"/>
      <c r="QO133" s="34"/>
      <c r="QP133" s="34"/>
      <c r="QQ133" s="34"/>
      <c r="QR133" s="30"/>
      <c r="QS133" s="30"/>
      <c r="QT133" s="30"/>
      <c r="QU133" s="30"/>
      <c r="QV133" s="30"/>
      <c r="QW133" s="30"/>
      <c r="QX133" s="30"/>
      <c r="QY133" s="30"/>
      <c r="QZ133" s="34"/>
      <c r="RA133" s="34"/>
      <c r="RB133" s="34"/>
      <c r="RC133" s="34"/>
      <c r="RD133" s="34"/>
      <c r="RE133" s="34"/>
      <c r="RF133" s="30"/>
      <c r="RG133" s="30"/>
      <c r="RH133" s="30"/>
      <c r="RI133" s="30"/>
      <c r="RJ133" s="30"/>
      <c r="RK133" s="30"/>
      <c r="RL133" s="30"/>
      <c r="RM133" s="30"/>
      <c r="RN133" s="34"/>
      <c r="RO133" s="34"/>
      <c r="RP133" s="34"/>
      <c r="RQ133" s="34"/>
      <c r="RR133" s="34"/>
      <c r="RS133" s="34"/>
      <c r="RT133" s="30"/>
      <c r="RU133" s="30"/>
      <c r="RV133" s="30"/>
      <c r="RW133" s="30"/>
      <c r="RX133" s="30"/>
      <c r="RY133" s="30"/>
      <c r="RZ133" s="30"/>
    </row>
    <row r="134" spans="1:494" ht="50.1" customHeight="1" x14ac:dyDescent="0.3">
      <c r="A134" s="108" t="s">
        <v>125</v>
      </c>
      <c r="B134" s="37" t="s">
        <v>123</v>
      </c>
      <c r="C134" s="38" t="s">
        <v>46</v>
      </c>
      <c r="D134" s="26">
        <f t="shared" si="41"/>
        <v>0</v>
      </c>
      <c r="E134" s="26">
        <v>0</v>
      </c>
      <c r="F134" s="26">
        <v>0</v>
      </c>
      <c r="G134" s="26">
        <v>0</v>
      </c>
      <c r="H134" s="26">
        <v>0</v>
      </c>
      <c r="I134" s="26">
        <v>0</v>
      </c>
      <c r="J134" s="26">
        <v>0</v>
      </c>
      <c r="K134" s="26">
        <v>0</v>
      </c>
      <c r="L134" s="30"/>
      <c r="M134" s="30"/>
      <c r="N134" s="30"/>
      <c r="O134" s="30"/>
      <c r="P134" s="30"/>
      <c r="Q134" s="30"/>
      <c r="R134" s="30"/>
      <c r="S134" s="30"/>
      <c r="T134" s="34"/>
      <c r="U134" s="34"/>
      <c r="V134" s="34"/>
      <c r="W134" s="34"/>
      <c r="X134" s="34"/>
      <c r="Y134" s="34"/>
      <c r="Z134" s="30"/>
      <c r="AA134" s="30"/>
      <c r="AB134" s="30"/>
      <c r="AC134" s="30"/>
      <c r="AD134" s="30"/>
      <c r="AE134" s="30"/>
      <c r="AF134" s="30"/>
      <c r="AG134" s="30"/>
      <c r="AH134" s="34"/>
      <c r="AI134" s="34"/>
      <c r="AJ134" s="34"/>
      <c r="AK134" s="34"/>
      <c r="AL134" s="34"/>
      <c r="AM134" s="34"/>
      <c r="AN134" s="30"/>
      <c r="AO134" s="30"/>
      <c r="AP134" s="30"/>
      <c r="AQ134" s="30"/>
      <c r="AR134" s="30"/>
      <c r="AS134" s="30"/>
      <c r="AT134" s="30"/>
      <c r="AU134" s="30"/>
      <c r="AV134" s="34"/>
      <c r="AW134" s="34"/>
      <c r="AX134" s="34"/>
      <c r="AY134" s="34"/>
      <c r="AZ134" s="34"/>
      <c r="BA134" s="34"/>
      <c r="BB134" s="30"/>
      <c r="BC134" s="30"/>
      <c r="BD134" s="30"/>
      <c r="BE134" s="30"/>
      <c r="BF134" s="30"/>
      <c r="BG134" s="30"/>
      <c r="BH134" s="30"/>
      <c r="BI134" s="30"/>
      <c r="BJ134" s="34"/>
      <c r="BK134" s="34"/>
      <c r="BL134" s="34"/>
      <c r="BM134" s="34"/>
      <c r="BN134" s="34"/>
      <c r="BO134" s="34"/>
      <c r="BP134" s="30"/>
      <c r="BQ134" s="30"/>
      <c r="BR134" s="30"/>
      <c r="BS134" s="30"/>
      <c r="BT134" s="30"/>
      <c r="BU134" s="30"/>
      <c r="BV134" s="30"/>
      <c r="BW134" s="30"/>
      <c r="BX134" s="34"/>
      <c r="BY134" s="34"/>
      <c r="BZ134" s="34"/>
      <c r="CA134" s="34"/>
      <c r="CB134" s="34"/>
      <c r="CC134" s="34"/>
      <c r="CD134" s="30"/>
      <c r="CE134" s="30"/>
      <c r="CF134" s="30"/>
      <c r="CG134" s="30"/>
      <c r="CH134" s="30"/>
      <c r="CI134" s="30"/>
      <c r="CJ134" s="30"/>
      <c r="CK134" s="30"/>
      <c r="CL134" s="34"/>
      <c r="CM134" s="34"/>
      <c r="CN134" s="34"/>
      <c r="CO134" s="34"/>
      <c r="CP134" s="34"/>
      <c r="CQ134" s="34"/>
      <c r="CR134" s="30"/>
      <c r="CS134" s="30"/>
      <c r="CT134" s="30"/>
      <c r="CU134" s="30"/>
      <c r="CV134" s="30"/>
      <c r="CW134" s="30"/>
      <c r="CX134" s="30"/>
      <c r="CY134" s="30"/>
      <c r="CZ134" s="34"/>
      <c r="DA134" s="34"/>
      <c r="DB134" s="34"/>
      <c r="DC134" s="34"/>
      <c r="DD134" s="34"/>
      <c r="DE134" s="34"/>
      <c r="DF134" s="30"/>
      <c r="DG134" s="30"/>
      <c r="DH134" s="30"/>
      <c r="DI134" s="30"/>
      <c r="DJ134" s="30"/>
      <c r="DK134" s="30"/>
      <c r="DL134" s="30"/>
      <c r="DM134" s="30"/>
      <c r="DN134" s="34"/>
      <c r="DO134" s="34"/>
      <c r="DP134" s="34"/>
      <c r="DQ134" s="34"/>
      <c r="DR134" s="34"/>
      <c r="DS134" s="34"/>
      <c r="DT134" s="30"/>
      <c r="DU134" s="30"/>
      <c r="DV134" s="30"/>
      <c r="DW134" s="30"/>
      <c r="DX134" s="30"/>
      <c r="DY134" s="30"/>
      <c r="DZ134" s="30"/>
      <c r="EA134" s="30"/>
      <c r="EB134" s="34"/>
      <c r="EC134" s="34"/>
      <c r="ED134" s="34"/>
      <c r="EE134" s="34"/>
      <c r="EF134" s="34"/>
      <c r="EG134" s="34"/>
      <c r="EH134" s="30"/>
      <c r="EI134" s="30"/>
      <c r="EJ134" s="30"/>
      <c r="EK134" s="30"/>
      <c r="EL134" s="30"/>
      <c r="EM134" s="30"/>
      <c r="EN134" s="30"/>
      <c r="EO134" s="30"/>
      <c r="EP134" s="34"/>
      <c r="EQ134" s="34"/>
      <c r="ER134" s="34"/>
      <c r="ES134" s="34"/>
      <c r="ET134" s="34"/>
      <c r="EU134" s="34"/>
      <c r="EV134" s="30"/>
      <c r="EW134" s="30"/>
      <c r="EX134" s="30"/>
      <c r="EY134" s="30"/>
      <c r="EZ134" s="30"/>
      <c r="FA134" s="30"/>
      <c r="FB134" s="30"/>
      <c r="FC134" s="30"/>
      <c r="FD134" s="34"/>
      <c r="FE134" s="34"/>
      <c r="FF134" s="34"/>
      <c r="FG134" s="34"/>
      <c r="FH134" s="34"/>
      <c r="FI134" s="34"/>
      <c r="FJ134" s="30"/>
      <c r="FK134" s="30"/>
      <c r="FL134" s="30"/>
      <c r="FM134" s="30"/>
      <c r="FN134" s="30"/>
      <c r="FO134" s="30"/>
      <c r="FP134" s="30"/>
      <c r="FQ134" s="30"/>
      <c r="FR134" s="34"/>
      <c r="FS134" s="34"/>
      <c r="FT134" s="34"/>
      <c r="FU134" s="34"/>
      <c r="FV134" s="34"/>
      <c r="FW134" s="34"/>
      <c r="FX134" s="30"/>
      <c r="FY134" s="30"/>
      <c r="FZ134" s="30"/>
      <c r="GA134" s="30"/>
      <c r="GB134" s="30"/>
      <c r="GC134" s="30"/>
      <c r="GD134" s="30"/>
      <c r="GE134" s="30"/>
      <c r="GF134" s="34"/>
      <c r="GG134" s="34"/>
      <c r="GH134" s="34"/>
      <c r="GI134" s="34"/>
      <c r="GJ134" s="34"/>
      <c r="GK134" s="34"/>
      <c r="GL134" s="30"/>
      <c r="GM134" s="30"/>
      <c r="GN134" s="30"/>
      <c r="GO134" s="30"/>
      <c r="GP134" s="30"/>
      <c r="GQ134" s="30"/>
      <c r="GR134" s="30"/>
      <c r="GS134" s="30"/>
      <c r="GT134" s="34"/>
      <c r="GU134" s="34"/>
      <c r="GV134" s="34"/>
      <c r="GW134" s="34"/>
      <c r="GX134" s="34"/>
      <c r="GY134" s="34"/>
      <c r="GZ134" s="30"/>
      <c r="HA134" s="30"/>
      <c r="HB134" s="30"/>
      <c r="HC134" s="30"/>
      <c r="HD134" s="30"/>
      <c r="HE134" s="30"/>
      <c r="HF134" s="30"/>
      <c r="HG134" s="30"/>
      <c r="HH134" s="34"/>
      <c r="HI134" s="34"/>
      <c r="HJ134" s="34"/>
      <c r="HK134" s="34"/>
      <c r="HL134" s="34"/>
      <c r="HM134" s="34"/>
      <c r="HN134" s="30"/>
      <c r="HO134" s="30"/>
      <c r="HP134" s="30"/>
      <c r="HQ134" s="30"/>
      <c r="HR134" s="30"/>
      <c r="HS134" s="30"/>
      <c r="HT134" s="30"/>
      <c r="HU134" s="30"/>
      <c r="HV134" s="34"/>
      <c r="HW134" s="34"/>
      <c r="HX134" s="34"/>
      <c r="HY134" s="34"/>
      <c r="HZ134" s="34"/>
      <c r="IA134" s="34"/>
      <c r="IB134" s="30"/>
      <c r="IC134" s="30"/>
      <c r="ID134" s="30"/>
      <c r="IE134" s="30"/>
      <c r="IF134" s="30"/>
      <c r="IG134" s="30"/>
      <c r="IH134" s="30"/>
      <c r="II134" s="30"/>
      <c r="IJ134" s="34"/>
      <c r="IK134" s="34"/>
      <c r="IL134" s="34"/>
      <c r="IM134" s="34"/>
      <c r="IN134" s="34"/>
      <c r="IO134" s="34"/>
      <c r="IP134" s="30"/>
      <c r="IQ134" s="30"/>
      <c r="IR134" s="30"/>
      <c r="IS134" s="30"/>
      <c r="IT134" s="30"/>
      <c r="IU134" s="30"/>
      <c r="IV134" s="30"/>
      <c r="IW134" s="30"/>
      <c r="IX134" s="34"/>
      <c r="IY134" s="34"/>
      <c r="IZ134" s="34"/>
      <c r="JA134" s="34"/>
      <c r="JB134" s="34"/>
      <c r="JC134" s="34"/>
      <c r="JD134" s="30"/>
      <c r="JE134" s="30"/>
      <c r="JF134" s="30"/>
      <c r="JG134" s="30"/>
      <c r="JH134" s="30"/>
      <c r="JI134" s="30"/>
      <c r="JJ134" s="30"/>
      <c r="JK134" s="30"/>
      <c r="JL134" s="34"/>
      <c r="JM134" s="34"/>
      <c r="JN134" s="34"/>
      <c r="JO134" s="34"/>
      <c r="JP134" s="34"/>
      <c r="JQ134" s="34"/>
      <c r="JR134" s="30"/>
      <c r="JS134" s="30"/>
      <c r="JT134" s="30"/>
      <c r="JU134" s="30"/>
      <c r="JV134" s="30"/>
      <c r="JW134" s="30"/>
      <c r="JX134" s="30"/>
      <c r="JY134" s="30"/>
      <c r="JZ134" s="34"/>
      <c r="KA134" s="34"/>
      <c r="KB134" s="34"/>
      <c r="KC134" s="34"/>
      <c r="KD134" s="34"/>
      <c r="KE134" s="34"/>
      <c r="KF134" s="30"/>
      <c r="KG134" s="30"/>
      <c r="KH134" s="30"/>
      <c r="KI134" s="30"/>
      <c r="KJ134" s="30"/>
      <c r="KK134" s="30"/>
      <c r="KL134" s="30"/>
      <c r="KM134" s="30"/>
      <c r="KN134" s="34"/>
      <c r="KO134" s="34"/>
      <c r="KP134" s="34"/>
      <c r="KQ134" s="34"/>
      <c r="KR134" s="34"/>
      <c r="KS134" s="34"/>
      <c r="KT134" s="30"/>
      <c r="KU134" s="30"/>
      <c r="KV134" s="30"/>
      <c r="KW134" s="30"/>
      <c r="KX134" s="30"/>
      <c r="KY134" s="30"/>
      <c r="KZ134" s="30"/>
      <c r="LA134" s="30"/>
      <c r="LB134" s="34"/>
      <c r="LC134" s="34"/>
      <c r="LD134" s="34"/>
      <c r="LE134" s="34"/>
      <c r="LF134" s="34"/>
      <c r="LG134" s="34"/>
      <c r="LH134" s="30"/>
      <c r="LI134" s="30"/>
      <c r="LJ134" s="30"/>
      <c r="LK134" s="30"/>
      <c r="LL134" s="30"/>
      <c r="LM134" s="30"/>
      <c r="LN134" s="30"/>
      <c r="LO134" s="30"/>
      <c r="LP134" s="34"/>
      <c r="LQ134" s="34"/>
      <c r="LR134" s="34"/>
      <c r="LS134" s="34"/>
      <c r="LT134" s="34"/>
      <c r="LU134" s="34"/>
      <c r="LV134" s="30"/>
      <c r="LW134" s="30"/>
      <c r="LX134" s="30"/>
      <c r="LY134" s="30"/>
      <c r="LZ134" s="30"/>
      <c r="MA134" s="30"/>
      <c r="MB134" s="30"/>
      <c r="MC134" s="30"/>
      <c r="MD134" s="34"/>
      <c r="ME134" s="34"/>
      <c r="MF134" s="34"/>
      <c r="MG134" s="34"/>
      <c r="MH134" s="34"/>
      <c r="MI134" s="34"/>
      <c r="MJ134" s="30"/>
      <c r="MK134" s="30"/>
      <c r="ML134" s="30"/>
      <c r="MM134" s="30"/>
      <c r="MN134" s="30"/>
      <c r="MO134" s="30"/>
      <c r="MP134" s="30"/>
      <c r="MQ134" s="30"/>
      <c r="MR134" s="34"/>
      <c r="MS134" s="34"/>
      <c r="MT134" s="34"/>
      <c r="MU134" s="34"/>
      <c r="MV134" s="34"/>
      <c r="MW134" s="34"/>
      <c r="MX134" s="30"/>
      <c r="MY134" s="30"/>
      <c r="MZ134" s="30"/>
      <c r="NA134" s="30"/>
      <c r="NB134" s="30"/>
      <c r="NC134" s="30"/>
      <c r="ND134" s="30"/>
      <c r="NE134" s="30"/>
      <c r="NF134" s="34"/>
      <c r="NG134" s="34"/>
      <c r="NH134" s="34"/>
      <c r="NI134" s="34"/>
      <c r="NJ134" s="34"/>
      <c r="NK134" s="34"/>
      <c r="NL134" s="30"/>
      <c r="NM134" s="30"/>
      <c r="NN134" s="30"/>
      <c r="NO134" s="30"/>
      <c r="NP134" s="30"/>
      <c r="NQ134" s="30"/>
      <c r="NR134" s="30"/>
      <c r="NS134" s="30"/>
      <c r="NT134" s="34"/>
      <c r="NU134" s="34"/>
      <c r="NV134" s="34"/>
      <c r="NW134" s="34"/>
      <c r="NX134" s="34"/>
      <c r="NY134" s="34"/>
      <c r="NZ134" s="30"/>
      <c r="OA134" s="30"/>
      <c r="OB134" s="30"/>
      <c r="OC134" s="30"/>
      <c r="OD134" s="30"/>
      <c r="OE134" s="30"/>
      <c r="OF134" s="30"/>
      <c r="OG134" s="30"/>
      <c r="OH134" s="34"/>
      <c r="OI134" s="34"/>
      <c r="OJ134" s="34"/>
      <c r="OK134" s="34"/>
      <c r="OL134" s="34"/>
      <c r="OM134" s="34"/>
      <c r="ON134" s="30"/>
      <c r="OO134" s="30"/>
      <c r="OP134" s="30"/>
      <c r="OQ134" s="30"/>
      <c r="OR134" s="30"/>
      <c r="OS134" s="30"/>
      <c r="OT134" s="30"/>
      <c r="OU134" s="30"/>
      <c r="OV134" s="34"/>
      <c r="OW134" s="34"/>
      <c r="OX134" s="34"/>
      <c r="OY134" s="34"/>
      <c r="OZ134" s="34"/>
      <c r="PA134" s="34"/>
      <c r="PB134" s="30"/>
      <c r="PC134" s="30"/>
      <c r="PD134" s="30"/>
      <c r="PE134" s="30"/>
      <c r="PF134" s="30"/>
      <c r="PG134" s="30"/>
      <c r="PH134" s="30"/>
      <c r="PI134" s="30"/>
      <c r="PJ134" s="34"/>
      <c r="PK134" s="34"/>
      <c r="PL134" s="34"/>
      <c r="PM134" s="34"/>
      <c r="PN134" s="34"/>
      <c r="PO134" s="34"/>
      <c r="PP134" s="30"/>
      <c r="PQ134" s="30"/>
      <c r="PR134" s="30"/>
      <c r="PS134" s="30"/>
      <c r="PT134" s="30"/>
      <c r="PU134" s="30"/>
      <c r="PV134" s="30"/>
      <c r="PW134" s="30"/>
      <c r="PX134" s="34"/>
      <c r="PY134" s="34"/>
      <c r="PZ134" s="34"/>
      <c r="QA134" s="34"/>
      <c r="QB134" s="34"/>
      <c r="QC134" s="34"/>
      <c r="QD134" s="30"/>
      <c r="QE134" s="30"/>
      <c r="QF134" s="30"/>
      <c r="QG134" s="30"/>
      <c r="QH134" s="30"/>
      <c r="QI134" s="30"/>
      <c r="QJ134" s="30"/>
      <c r="QK134" s="30"/>
      <c r="QL134" s="34"/>
      <c r="QM134" s="34"/>
      <c r="QN134" s="34"/>
      <c r="QO134" s="34"/>
      <c r="QP134" s="34"/>
      <c r="QQ134" s="34"/>
      <c r="QR134" s="30"/>
      <c r="QS134" s="30"/>
      <c r="QT134" s="30"/>
      <c r="QU134" s="30"/>
      <c r="QV134" s="30"/>
      <c r="QW134" s="30"/>
      <c r="QX134" s="30"/>
      <c r="QY134" s="30"/>
      <c r="QZ134" s="34"/>
      <c r="RA134" s="34"/>
      <c r="RB134" s="34"/>
      <c r="RC134" s="34"/>
      <c r="RD134" s="34"/>
      <c r="RE134" s="34"/>
      <c r="RF134" s="30"/>
      <c r="RG134" s="30"/>
      <c r="RH134" s="30"/>
      <c r="RI134" s="30"/>
      <c r="RJ134" s="30"/>
      <c r="RK134" s="30"/>
      <c r="RL134" s="30"/>
      <c r="RM134" s="30"/>
      <c r="RN134" s="34"/>
      <c r="RO134" s="34"/>
      <c r="RP134" s="34"/>
      <c r="RQ134" s="34"/>
      <c r="RR134" s="34"/>
      <c r="RS134" s="34"/>
      <c r="RT134" s="30"/>
      <c r="RU134" s="30"/>
      <c r="RV134" s="30"/>
      <c r="RW134" s="30"/>
      <c r="RX134" s="30"/>
      <c r="RY134" s="30"/>
      <c r="RZ134" s="30"/>
    </row>
    <row r="135" spans="1:494" ht="50.1" customHeight="1" x14ac:dyDescent="0.3">
      <c r="A135" s="109"/>
      <c r="B135" s="15" t="s">
        <v>123</v>
      </c>
      <c r="C135" s="14" t="s">
        <v>6</v>
      </c>
      <c r="D135" s="26">
        <f t="shared" si="41"/>
        <v>0</v>
      </c>
      <c r="E135" s="26">
        <v>0</v>
      </c>
      <c r="F135" s="26">
        <v>0</v>
      </c>
      <c r="G135" s="26">
        <v>0</v>
      </c>
      <c r="H135" s="26">
        <v>0</v>
      </c>
      <c r="I135" s="26">
        <v>0</v>
      </c>
      <c r="J135" s="26">
        <v>0</v>
      </c>
      <c r="K135" s="26">
        <v>0</v>
      </c>
      <c r="L135" s="30"/>
      <c r="M135" s="30"/>
      <c r="N135" s="30"/>
      <c r="O135" s="30"/>
      <c r="P135" s="30"/>
      <c r="Q135" s="30"/>
      <c r="R135" s="30"/>
      <c r="S135" s="30"/>
      <c r="T135" s="34"/>
      <c r="U135" s="34"/>
      <c r="V135" s="34"/>
      <c r="W135" s="34"/>
      <c r="X135" s="34"/>
      <c r="Y135" s="34"/>
      <c r="Z135" s="30"/>
      <c r="AA135" s="30"/>
      <c r="AB135" s="30"/>
      <c r="AC135" s="30"/>
      <c r="AD135" s="30"/>
      <c r="AE135" s="30"/>
      <c r="AF135" s="30"/>
      <c r="AG135" s="30"/>
      <c r="AH135" s="34"/>
      <c r="AI135" s="34"/>
      <c r="AJ135" s="34"/>
      <c r="AK135" s="34"/>
      <c r="AL135" s="34"/>
      <c r="AM135" s="34"/>
      <c r="AN135" s="30"/>
      <c r="AO135" s="30"/>
      <c r="AP135" s="30"/>
      <c r="AQ135" s="30"/>
      <c r="AR135" s="30"/>
      <c r="AS135" s="30"/>
      <c r="AT135" s="30"/>
      <c r="AU135" s="30"/>
      <c r="AV135" s="34"/>
      <c r="AW135" s="34"/>
      <c r="AX135" s="34"/>
      <c r="AY135" s="34"/>
      <c r="AZ135" s="34"/>
      <c r="BA135" s="34"/>
      <c r="BB135" s="30"/>
      <c r="BC135" s="30"/>
      <c r="BD135" s="30"/>
      <c r="BE135" s="30"/>
      <c r="BF135" s="30"/>
      <c r="BG135" s="30"/>
      <c r="BH135" s="30"/>
      <c r="BI135" s="30"/>
      <c r="BJ135" s="34"/>
      <c r="BK135" s="34"/>
      <c r="BL135" s="34"/>
      <c r="BM135" s="34"/>
      <c r="BN135" s="34"/>
      <c r="BO135" s="34"/>
      <c r="BP135" s="30"/>
      <c r="BQ135" s="30"/>
      <c r="BR135" s="30"/>
      <c r="BS135" s="30"/>
      <c r="BT135" s="30"/>
      <c r="BU135" s="30"/>
      <c r="BV135" s="30"/>
      <c r="BW135" s="30"/>
      <c r="BX135" s="34"/>
      <c r="BY135" s="34"/>
      <c r="BZ135" s="34"/>
      <c r="CA135" s="34"/>
      <c r="CB135" s="34"/>
      <c r="CC135" s="34"/>
      <c r="CD135" s="30"/>
      <c r="CE135" s="30"/>
      <c r="CF135" s="30"/>
      <c r="CG135" s="30"/>
      <c r="CH135" s="30"/>
      <c r="CI135" s="30"/>
      <c r="CJ135" s="30"/>
      <c r="CK135" s="30"/>
      <c r="CL135" s="34"/>
      <c r="CM135" s="34"/>
      <c r="CN135" s="34"/>
      <c r="CO135" s="34"/>
      <c r="CP135" s="34"/>
      <c r="CQ135" s="34"/>
      <c r="CR135" s="30"/>
      <c r="CS135" s="30"/>
      <c r="CT135" s="30"/>
      <c r="CU135" s="30"/>
      <c r="CV135" s="30"/>
      <c r="CW135" s="30"/>
      <c r="CX135" s="30"/>
      <c r="CY135" s="30"/>
      <c r="CZ135" s="34"/>
      <c r="DA135" s="34"/>
      <c r="DB135" s="34"/>
      <c r="DC135" s="34"/>
      <c r="DD135" s="34"/>
      <c r="DE135" s="34"/>
      <c r="DF135" s="30"/>
      <c r="DG135" s="30"/>
      <c r="DH135" s="30"/>
      <c r="DI135" s="30"/>
      <c r="DJ135" s="30"/>
      <c r="DK135" s="30"/>
      <c r="DL135" s="30"/>
      <c r="DM135" s="30"/>
      <c r="DN135" s="34"/>
      <c r="DO135" s="34"/>
      <c r="DP135" s="34"/>
      <c r="DQ135" s="34"/>
      <c r="DR135" s="34"/>
      <c r="DS135" s="34"/>
      <c r="DT135" s="30"/>
      <c r="DU135" s="30"/>
      <c r="DV135" s="30"/>
      <c r="DW135" s="30"/>
      <c r="DX135" s="30"/>
      <c r="DY135" s="30"/>
      <c r="DZ135" s="30"/>
      <c r="EA135" s="30"/>
      <c r="EB135" s="34"/>
      <c r="EC135" s="34"/>
      <c r="ED135" s="34"/>
      <c r="EE135" s="34"/>
      <c r="EF135" s="34"/>
      <c r="EG135" s="34"/>
      <c r="EH135" s="30"/>
      <c r="EI135" s="30"/>
      <c r="EJ135" s="30"/>
      <c r="EK135" s="30"/>
      <c r="EL135" s="30"/>
      <c r="EM135" s="30"/>
      <c r="EN135" s="30"/>
      <c r="EO135" s="30"/>
      <c r="EP135" s="34"/>
      <c r="EQ135" s="34"/>
      <c r="ER135" s="34"/>
      <c r="ES135" s="34"/>
      <c r="ET135" s="34"/>
      <c r="EU135" s="34"/>
      <c r="EV135" s="30"/>
      <c r="EW135" s="30"/>
      <c r="EX135" s="30"/>
      <c r="EY135" s="30"/>
      <c r="EZ135" s="30"/>
      <c r="FA135" s="30"/>
      <c r="FB135" s="30"/>
      <c r="FC135" s="30"/>
      <c r="FD135" s="34"/>
      <c r="FE135" s="34"/>
      <c r="FF135" s="34"/>
      <c r="FG135" s="34"/>
      <c r="FH135" s="34"/>
      <c r="FI135" s="34"/>
      <c r="FJ135" s="30"/>
      <c r="FK135" s="30"/>
      <c r="FL135" s="30"/>
      <c r="FM135" s="30"/>
      <c r="FN135" s="30"/>
      <c r="FO135" s="30"/>
      <c r="FP135" s="30"/>
      <c r="FQ135" s="30"/>
      <c r="FR135" s="34"/>
      <c r="FS135" s="34"/>
      <c r="FT135" s="34"/>
      <c r="FU135" s="34"/>
      <c r="FV135" s="34"/>
      <c r="FW135" s="34"/>
      <c r="FX135" s="30"/>
      <c r="FY135" s="30"/>
      <c r="FZ135" s="30"/>
      <c r="GA135" s="30"/>
      <c r="GB135" s="30"/>
      <c r="GC135" s="30"/>
      <c r="GD135" s="30"/>
      <c r="GE135" s="30"/>
      <c r="GF135" s="34"/>
      <c r="GG135" s="34"/>
      <c r="GH135" s="34"/>
      <c r="GI135" s="34"/>
      <c r="GJ135" s="34"/>
      <c r="GK135" s="34"/>
      <c r="GL135" s="30"/>
      <c r="GM135" s="30"/>
      <c r="GN135" s="30"/>
      <c r="GO135" s="30"/>
      <c r="GP135" s="30"/>
      <c r="GQ135" s="30"/>
      <c r="GR135" s="30"/>
      <c r="GS135" s="30"/>
      <c r="GT135" s="34"/>
      <c r="GU135" s="34"/>
      <c r="GV135" s="34"/>
      <c r="GW135" s="34"/>
      <c r="GX135" s="34"/>
      <c r="GY135" s="34"/>
      <c r="GZ135" s="30"/>
      <c r="HA135" s="30"/>
      <c r="HB135" s="30"/>
      <c r="HC135" s="30"/>
      <c r="HD135" s="30"/>
      <c r="HE135" s="30"/>
      <c r="HF135" s="30"/>
      <c r="HG135" s="30"/>
      <c r="HH135" s="34"/>
      <c r="HI135" s="34"/>
      <c r="HJ135" s="34"/>
      <c r="HK135" s="34"/>
      <c r="HL135" s="34"/>
      <c r="HM135" s="34"/>
      <c r="HN135" s="30"/>
      <c r="HO135" s="30"/>
      <c r="HP135" s="30"/>
      <c r="HQ135" s="30"/>
      <c r="HR135" s="30"/>
      <c r="HS135" s="30"/>
      <c r="HT135" s="30"/>
      <c r="HU135" s="30"/>
      <c r="HV135" s="34"/>
      <c r="HW135" s="34"/>
      <c r="HX135" s="34"/>
      <c r="HY135" s="34"/>
      <c r="HZ135" s="34"/>
      <c r="IA135" s="34"/>
      <c r="IB135" s="30"/>
      <c r="IC135" s="30"/>
      <c r="ID135" s="30"/>
      <c r="IE135" s="30"/>
      <c r="IF135" s="30"/>
      <c r="IG135" s="30"/>
      <c r="IH135" s="30"/>
      <c r="II135" s="30"/>
      <c r="IJ135" s="34"/>
      <c r="IK135" s="34"/>
      <c r="IL135" s="34"/>
      <c r="IM135" s="34"/>
      <c r="IN135" s="34"/>
      <c r="IO135" s="34"/>
      <c r="IP135" s="30"/>
      <c r="IQ135" s="30"/>
      <c r="IR135" s="30"/>
      <c r="IS135" s="30"/>
      <c r="IT135" s="30"/>
      <c r="IU135" s="30"/>
      <c r="IV135" s="30"/>
      <c r="IW135" s="30"/>
      <c r="IX135" s="34"/>
      <c r="IY135" s="34"/>
      <c r="IZ135" s="34"/>
      <c r="JA135" s="34"/>
      <c r="JB135" s="34"/>
      <c r="JC135" s="34"/>
      <c r="JD135" s="30"/>
      <c r="JE135" s="30"/>
      <c r="JF135" s="30"/>
      <c r="JG135" s="30"/>
      <c r="JH135" s="30"/>
      <c r="JI135" s="30"/>
      <c r="JJ135" s="30"/>
      <c r="JK135" s="30"/>
      <c r="JL135" s="34"/>
      <c r="JM135" s="34"/>
      <c r="JN135" s="34"/>
      <c r="JO135" s="34"/>
      <c r="JP135" s="34"/>
      <c r="JQ135" s="34"/>
      <c r="JR135" s="30"/>
      <c r="JS135" s="30"/>
      <c r="JT135" s="30"/>
      <c r="JU135" s="30"/>
      <c r="JV135" s="30"/>
      <c r="JW135" s="30"/>
      <c r="JX135" s="30"/>
      <c r="JY135" s="30"/>
      <c r="JZ135" s="34"/>
      <c r="KA135" s="34"/>
      <c r="KB135" s="34"/>
      <c r="KC135" s="34"/>
      <c r="KD135" s="34"/>
      <c r="KE135" s="34"/>
      <c r="KF135" s="30"/>
      <c r="KG135" s="30"/>
      <c r="KH135" s="30"/>
      <c r="KI135" s="30"/>
      <c r="KJ135" s="30"/>
      <c r="KK135" s="30"/>
      <c r="KL135" s="30"/>
      <c r="KM135" s="30"/>
      <c r="KN135" s="34"/>
      <c r="KO135" s="34"/>
      <c r="KP135" s="34"/>
      <c r="KQ135" s="34"/>
      <c r="KR135" s="34"/>
      <c r="KS135" s="34"/>
      <c r="KT135" s="30"/>
      <c r="KU135" s="30"/>
      <c r="KV135" s="30"/>
      <c r="KW135" s="30"/>
      <c r="KX135" s="30"/>
      <c r="KY135" s="30"/>
      <c r="KZ135" s="30"/>
      <c r="LA135" s="30"/>
      <c r="LB135" s="34"/>
      <c r="LC135" s="34"/>
      <c r="LD135" s="34"/>
      <c r="LE135" s="34"/>
      <c r="LF135" s="34"/>
      <c r="LG135" s="34"/>
      <c r="LH135" s="30"/>
      <c r="LI135" s="30"/>
      <c r="LJ135" s="30"/>
      <c r="LK135" s="30"/>
      <c r="LL135" s="30"/>
      <c r="LM135" s="30"/>
      <c r="LN135" s="30"/>
      <c r="LO135" s="30"/>
      <c r="LP135" s="34"/>
      <c r="LQ135" s="34"/>
      <c r="LR135" s="34"/>
      <c r="LS135" s="34"/>
      <c r="LT135" s="34"/>
      <c r="LU135" s="34"/>
      <c r="LV135" s="30"/>
      <c r="LW135" s="30"/>
      <c r="LX135" s="30"/>
      <c r="LY135" s="30"/>
      <c r="LZ135" s="30"/>
      <c r="MA135" s="30"/>
      <c r="MB135" s="30"/>
      <c r="MC135" s="30"/>
      <c r="MD135" s="34"/>
      <c r="ME135" s="34"/>
      <c r="MF135" s="34"/>
      <c r="MG135" s="34"/>
      <c r="MH135" s="34"/>
      <c r="MI135" s="34"/>
      <c r="MJ135" s="30"/>
      <c r="MK135" s="30"/>
      <c r="ML135" s="30"/>
      <c r="MM135" s="30"/>
      <c r="MN135" s="30"/>
      <c r="MO135" s="30"/>
      <c r="MP135" s="30"/>
      <c r="MQ135" s="30"/>
      <c r="MR135" s="34"/>
      <c r="MS135" s="34"/>
      <c r="MT135" s="34"/>
      <c r="MU135" s="34"/>
      <c r="MV135" s="34"/>
      <c r="MW135" s="34"/>
      <c r="MX135" s="30"/>
      <c r="MY135" s="30"/>
      <c r="MZ135" s="30"/>
      <c r="NA135" s="30"/>
      <c r="NB135" s="30"/>
      <c r="NC135" s="30"/>
      <c r="ND135" s="30"/>
      <c r="NE135" s="30"/>
      <c r="NF135" s="34"/>
      <c r="NG135" s="34"/>
      <c r="NH135" s="34"/>
      <c r="NI135" s="34"/>
      <c r="NJ135" s="34"/>
      <c r="NK135" s="34"/>
      <c r="NL135" s="30"/>
      <c r="NM135" s="30"/>
      <c r="NN135" s="30"/>
      <c r="NO135" s="30"/>
      <c r="NP135" s="30"/>
      <c r="NQ135" s="30"/>
      <c r="NR135" s="30"/>
      <c r="NS135" s="30"/>
      <c r="NT135" s="34"/>
      <c r="NU135" s="34"/>
      <c r="NV135" s="34"/>
      <c r="NW135" s="34"/>
      <c r="NX135" s="34"/>
      <c r="NY135" s="34"/>
      <c r="NZ135" s="30"/>
      <c r="OA135" s="30"/>
      <c r="OB135" s="30"/>
      <c r="OC135" s="30"/>
      <c r="OD135" s="30"/>
      <c r="OE135" s="30"/>
      <c r="OF135" s="30"/>
      <c r="OG135" s="30"/>
      <c r="OH135" s="34"/>
      <c r="OI135" s="34"/>
      <c r="OJ135" s="34"/>
      <c r="OK135" s="34"/>
      <c r="OL135" s="34"/>
      <c r="OM135" s="34"/>
      <c r="ON135" s="30"/>
      <c r="OO135" s="30"/>
      <c r="OP135" s="30"/>
      <c r="OQ135" s="30"/>
      <c r="OR135" s="30"/>
      <c r="OS135" s="30"/>
      <c r="OT135" s="30"/>
      <c r="OU135" s="30"/>
      <c r="OV135" s="34"/>
      <c r="OW135" s="34"/>
      <c r="OX135" s="34"/>
      <c r="OY135" s="34"/>
      <c r="OZ135" s="34"/>
      <c r="PA135" s="34"/>
      <c r="PB135" s="30"/>
      <c r="PC135" s="30"/>
      <c r="PD135" s="30"/>
      <c r="PE135" s="30"/>
      <c r="PF135" s="30"/>
      <c r="PG135" s="30"/>
      <c r="PH135" s="30"/>
      <c r="PI135" s="30"/>
      <c r="PJ135" s="34"/>
      <c r="PK135" s="34"/>
      <c r="PL135" s="34"/>
      <c r="PM135" s="34"/>
      <c r="PN135" s="34"/>
      <c r="PO135" s="34"/>
      <c r="PP135" s="30"/>
      <c r="PQ135" s="30"/>
      <c r="PR135" s="30"/>
      <c r="PS135" s="30"/>
      <c r="PT135" s="30"/>
      <c r="PU135" s="30"/>
      <c r="PV135" s="30"/>
      <c r="PW135" s="30"/>
      <c r="PX135" s="34"/>
      <c r="PY135" s="34"/>
      <c r="PZ135" s="34"/>
      <c r="QA135" s="34"/>
      <c r="QB135" s="34"/>
      <c r="QC135" s="34"/>
      <c r="QD135" s="30"/>
      <c r="QE135" s="30"/>
      <c r="QF135" s="30"/>
      <c r="QG135" s="30"/>
      <c r="QH135" s="30"/>
      <c r="QI135" s="30"/>
      <c r="QJ135" s="30"/>
      <c r="QK135" s="30"/>
      <c r="QL135" s="34"/>
      <c r="QM135" s="34"/>
      <c r="QN135" s="34"/>
      <c r="QO135" s="34"/>
      <c r="QP135" s="34"/>
      <c r="QQ135" s="34"/>
      <c r="QR135" s="30"/>
      <c r="QS135" s="30"/>
      <c r="QT135" s="30"/>
      <c r="QU135" s="30"/>
      <c r="QV135" s="30"/>
      <c r="QW135" s="30"/>
      <c r="QX135" s="30"/>
      <c r="QY135" s="30"/>
      <c r="QZ135" s="34"/>
      <c r="RA135" s="34"/>
      <c r="RB135" s="34"/>
      <c r="RC135" s="34"/>
      <c r="RD135" s="34"/>
      <c r="RE135" s="34"/>
      <c r="RF135" s="30"/>
      <c r="RG135" s="30"/>
      <c r="RH135" s="30"/>
      <c r="RI135" s="30"/>
      <c r="RJ135" s="30"/>
      <c r="RK135" s="30"/>
      <c r="RL135" s="30"/>
      <c r="RM135" s="30"/>
      <c r="RN135" s="34"/>
      <c r="RO135" s="34"/>
      <c r="RP135" s="34"/>
      <c r="RQ135" s="34"/>
      <c r="RR135" s="34"/>
      <c r="RS135" s="34"/>
      <c r="RT135" s="30"/>
      <c r="RU135" s="30"/>
      <c r="RV135" s="30"/>
      <c r="RW135" s="30"/>
      <c r="RX135" s="30"/>
      <c r="RY135" s="30"/>
      <c r="RZ135" s="30"/>
    </row>
    <row r="136" spans="1:494" ht="50.1" customHeight="1" x14ac:dyDescent="0.3">
      <c r="A136" s="109"/>
      <c r="B136" s="15" t="s">
        <v>123</v>
      </c>
      <c r="C136" s="14" t="s">
        <v>67</v>
      </c>
      <c r="D136" s="26">
        <f t="shared" si="41"/>
        <v>0</v>
      </c>
      <c r="E136" s="26">
        <v>0</v>
      </c>
      <c r="F136" s="26">
        <v>0</v>
      </c>
      <c r="G136" s="26">
        <v>0</v>
      </c>
      <c r="H136" s="26">
        <v>0</v>
      </c>
      <c r="I136" s="26">
        <v>0</v>
      </c>
      <c r="J136" s="26">
        <v>0</v>
      </c>
      <c r="K136" s="26">
        <v>0</v>
      </c>
      <c r="L136" s="30"/>
      <c r="M136" s="30"/>
      <c r="N136" s="30"/>
      <c r="O136" s="30"/>
      <c r="P136" s="30"/>
      <c r="Q136" s="30"/>
      <c r="R136" s="30"/>
      <c r="S136" s="30"/>
      <c r="T136" s="34"/>
      <c r="U136" s="34"/>
      <c r="V136" s="34"/>
      <c r="W136" s="34"/>
      <c r="X136" s="34"/>
      <c r="Y136" s="34"/>
      <c r="Z136" s="30"/>
      <c r="AA136" s="30"/>
      <c r="AB136" s="30"/>
      <c r="AC136" s="30"/>
      <c r="AD136" s="30"/>
      <c r="AE136" s="30"/>
      <c r="AF136" s="30"/>
      <c r="AG136" s="30"/>
      <c r="AH136" s="34"/>
      <c r="AI136" s="34"/>
      <c r="AJ136" s="34"/>
      <c r="AK136" s="34"/>
      <c r="AL136" s="34"/>
      <c r="AM136" s="34"/>
      <c r="AN136" s="30"/>
      <c r="AO136" s="30"/>
      <c r="AP136" s="30"/>
      <c r="AQ136" s="30"/>
      <c r="AR136" s="30"/>
      <c r="AS136" s="30"/>
      <c r="AT136" s="30"/>
      <c r="AU136" s="30"/>
      <c r="AV136" s="34"/>
      <c r="AW136" s="34"/>
      <c r="AX136" s="34"/>
      <c r="AY136" s="34"/>
      <c r="AZ136" s="34"/>
      <c r="BA136" s="34"/>
      <c r="BB136" s="30"/>
      <c r="BC136" s="30"/>
      <c r="BD136" s="30"/>
      <c r="BE136" s="30"/>
      <c r="BF136" s="30"/>
      <c r="BG136" s="30"/>
      <c r="BH136" s="30"/>
      <c r="BI136" s="30"/>
      <c r="BJ136" s="34"/>
      <c r="BK136" s="34"/>
      <c r="BL136" s="34"/>
      <c r="BM136" s="34"/>
      <c r="BN136" s="34"/>
      <c r="BO136" s="34"/>
      <c r="BP136" s="30"/>
      <c r="BQ136" s="30"/>
      <c r="BR136" s="30"/>
      <c r="BS136" s="30"/>
      <c r="BT136" s="30"/>
      <c r="BU136" s="30"/>
      <c r="BV136" s="30"/>
      <c r="BW136" s="30"/>
      <c r="BX136" s="34"/>
      <c r="BY136" s="34"/>
      <c r="BZ136" s="34"/>
      <c r="CA136" s="34"/>
      <c r="CB136" s="34"/>
      <c r="CC136" s="34"/>
      <c r="CD136" s="30"/>
      <c r="CE136" s="30"/>
      <c r="CF136" s="30"/>
      <c r="CG136" s="30"/>
      <c r="CH136" s="30"/>
      <c r="CI136" s="30"/>
      <c r="CJ136" s="30"/>
      <c r="CK136" s="30"/>
      <c r="CL136" s="34"/>
      <c r="CM136" s="34"/>
      <c r="CN136" s="34"/>
      <c r="CO136" s="34"/>
      <c r="CP136" s="34"/>
      <c r="CQ136" s="34"/>
      <c r="CR136" s="30"/>
      <c r="CS136" s="30"/>
      <c r="CT136" s="30"/>
      <c r="CU136" s="30"/>
      <c r="CV136" s="30"/>
      <c r="CW136" s="30"/>
      <c r="CX136" s="30"/>
      <c r="CY136" s="30"/>
      <c r="CZ136" s="34"/>
      <c r="DA136" s="34"/>
      <c r="DB136" s="34"/>
      <c r="DC136" s="34"/>
      <c r="DD136" s="34"/>
      <c r="DE136" s="34"/>
      <c r="DF136" s="30"/>
      <c r="DG136" s="30"/>
      <c r="DH136" s="30"/>
      <c r="DI136" s="30"/>
      <c r="DJ136" s="30"/>
      <c r="DK136" s="30"/>
      <c r="DL136" s="30"/>
      <c r="DM136" s="30"/>
      <c r="DN136" s="34"/>
      <c r="DO136" s="34"/>
      <c r="DP136" s="34"/>
      <c r="DQ136" s="34"/>
      <c r="DR136" s="34"/>
      <c r="DS136" s="34"/>
      <c r="DT136" s="30"/>
      <c r="DU136" s="30"/>
      <c r="DV136" s="30"/>
      <c r="DW136" s="30"/>
      <c r="DX136" s="30"/>
      <c r="DY136" s="30"/>
      <c r="DZ136" s="30"/>
      <c r="EA136" s="30"/>
      <c r="EB136" s="34"/>
      <c r="EC136" s="34"/>
      <c r="ED136" s="34"/>
      <c r="EE136" s="34"/>
      <c r="EF136" s="34"/>
      <c r="EG136" s="34"/>
      <c r="EH136" s="30"/>
      <c r="EI136" s="30"/>
      <c r="EJ136" s="30"/>
      <c r="EK136" s="30"/>
      <c r="EL136" s="30"/>
      <c r="EM136" s="30"/>
      <c r="EN136" s="30"/>
      <c r="EO136" s="30"/>
      <c r="EP136" s="34"/>
      <c r="EQ136" s="34"/>
      <c r="ER136" s="34"/>
      <c r="ES136" s="34"/>
      <c r="ET136" s="34"/>
      <c r="EU136" s="34"/>
      <c r="EV136" s="30"/>
      <c r="EW136" s="30"/>
      <c r="EX136" s="30"/>
      <c r="EY136" s="30"/>
      <c r="EZ136" s="30"/>
      <c r="FA136" s="30"/>
      <c r="FB136" s="30"/>
      <c r="FC136" s="30"/>
      <c r="FD136" s="34"/>
      <c r="FE136" s="34"/>
      <c r="FF136" s="34"/>
      <c r="FG136" s="34"/>
      <c r="FH136" s="34"/>
      <c r="FI136" s="34"/>
      <c r="FJ136" s="30"/>
      <c r="FK136" s="30"/>
      <c r="FL136" s="30"/>
      <c r="FM136" s="30"/>
      <c r="FN136" s="30"/>
      <c r="FO136" s="30"/>
      <c r="FP136" s="30"/>
      <c r="FQ136" s="30"/>
      <c r="FR136" s="34"/>
      <c r="FS136" s="34"/>
      <c r="FT136" s="34"/>
      <c r="FU136" s="34"/>
      <c r="FV136" s="34"/>
      <c r="FW136" s="34"/>
      <c r="FX136" s="30"/>
      <c r="FY136" s="30"/>
      <c r="FZ136" s="30"/>
      <c r="GA136" s="30"/>
      <c r="GB136" s="30"/>
      <c r="GC136" s="30"/>
      <c r="GD136" s="30"/>
      <c r="GE136" s="30"/>
      <c r="GF136" s="34"/>
      <c r="GG136" s="34"/>
      <c r="GH136" s="34"/>
      <c r="GI136" s="34"/>
      <c r="GJ136" s="34"/>
      <c r="GK136" s="34"/>
      <c r="GL136" s="30"/>
      <c r="GM136" s="30"/>
      <c r="GN136" s="30"/>
      <c r="GO136" s="30"/>
      <c r="GP136" s="30"/>
      <c r="GQ136" s="30"/>
      <c r="GR136" s="30"/>
      <c r="GS136" s="30"/>
      <c r="GT136" s="34"/>
      <c r="GU136" s="34"/>
      <c r="GV136" s="34"/>
      <c r="GW136" s="34"/>
      <c r="GX136" s="34"/>
      <c r="GY136" s="34"/>
      <c r="GZ136" s="30"/>
      <c r="HA136" s="30"/>
      <c r="HB136" s="30"/>
      <c r="HC136" s="30"/>
      <c r="HD136" s="30"/>
      <c r="HE136" s="30"/>
      <c r="HF136" s="30"/>
      <c r="HG136" s="30"/>
      <c r="HH136" s="34"/>
      <c r="HI136" s="34"/>
      <c r="HJ136" s="34"/>
      <c r="HK136" s="34"/>
      <c r="HL136" s="34"/>
      <c r="HM136" s="34"/>
      <c r="HN136" s="30"/>
      <c r="HO136" s="30"/>
      <c r="HP136" s="30"/>
      <c r="HQ136" s="30"/>
      <c r="HR136" s="30"/>
      <c r="HS136" s="30"/>
      <c r="HT136" s="30"/>
      <c r="HU136" s="30"/>
      <c r="HV136" s="34"/>
      <c r="HW136" s="34"/>
      <c r="HX136" s="34"/>
      <c r="HY136" s="34"/>
      <c r="HZ136" s="34"/>
      <c r="IA136" s="34"/>
      <c r="IB136" s="30"/>
      <c r="IC136" s="30"/>
      <c r="ID136" s="30"/>
      <c r="IE136" s="30"/>
      <c r="IF136" s="30"/>
      <c r="IG136" s="30"/>
      <c r="IH136" s="30"/>
      <c r="II136" s="30"/>
      <c r="IJ136" s="34"/>
      <c r="IK136" s="34"/>
      <c r="IL136" s="34"/>
      <c r="IM136" s="34"/>
      <c r="IN136" s="34"/>
      <c r="IO136" s="34"/>
      <c r="IP136" s="30"/>
      <c r="IQ136" s="30"/>
      <c r="IR136" s="30"/>
      <c r="IS136" s="30"/>
      <c r="IT136" s="30"/>
      <c r="IU136" s="30"/>
      <c r="IV136" s="30"/>
      <c r="IW136" s="30"/>
      <c r="IX136" s="34"/>
      <c r="IY136" s="34"/>
      <c r="IZ136" s="34"/>
      <c r="JA136" s="34"/>
      <c r="JB136" s="34"/>
      <c r="JC136" s="34"/>
      <c r="JD136" s="30"/>
      <c r="JE136" s="30"/>
      <c r="JF136" s="30"/>
      <c r="JG136" s="30"/>
      <c r="JH136" s="30"/>
      <c r="JI136" s="30"/>
      <c r="JJ136" s="30"/>
      <c r="JK136" s="30"/>
      <c r="JL136" s="34"/>
      <c r="JM136" s="34"/>
      <c r="JN136" s="34"/>
      <c r="JO136" s="34"/>
      <c r="JP136" s="34"/>
      <c r="JQ136" s="34"/>
      <c r="JR136" s="30"/>
      <c r="JS136" s="30"/>
      <c r="JT136" s="30"/>
      <c r="JU136" s="30"/>
      <c r="JV136" s="30"/>
      <c r="JW136" s="30"/>
      <c r="JX136" s="30"/>
      <c r="JY136" s="30"/>
      <c r="JZ136" s="34"/>
      <c r="KA136" s="34"/>
      <c r="KB136" s="34"/>
      <c r="KC136" s="34"/>
      <c r="KD136" s="34"/>
      <c r="KE136" s="34"/>
      <c r="KF136" s="30"/>
      <c r="KG136" s="30"/>
      <c r="KH136" s="30"/>
      <c r="KI136" s="30"/>
      <c r="KJ136" s="30"/>
      <c r="KK136" s="30"/>
      <c r="KL136" s="30"/>
      <c r="KM136" s="30"/>
      <c r="KN136" s="34"/>
      <c r="KO136" s="34"/>
      <c r="KP136" s="34"/>
      <c r="KQ136" s="34"/>
      <c r="KR136" s="34"/>
      <c r="KS136" s="34"/>
      <c r="KT136" s="30"/>
      <c r="KU136" s="30"/>
      <c r="KV136" s="30"/>
      <c r="KW136" s="30"/>
      <c r="KX136" s="30"/>
      <c r="KY136" s="30"/>
      <c r="KZ136" s="30"/>
      <c r="LA136" s="30"/>
      <c r="LB136" s="34"/>
      <c r="LC136" s="34"/>
      <c r="LD136" s="34"/>
      <c r="LE136" s="34"/>
      <c r="LF136" s="34"/>
      <c r="LG136" s="34"/>
      <c r="LH136" s="30"/>
      <c r="LI136" s="30"/>
      <c r="LJ136" s="30"/>
      <c r="LK136" s="30"/>
      <c r="LL136" s="30"/>
      <c r="LM136" s="30"/>
      <c r="LN136" s="30"/>
      <c r="LO136" s="30"/>
      <c r="LP136" s="34"/>
      <c r="LQ136" s="34"/>
      <c r="LR136" s="34"/>
      <c r="LS136" s="34"/>
      <c r="LT136" s="34"/>
      <c r="LU136" s="34"/>
      <c r="LV136" s="30"/>
      <c r="LW136" s="30"/>
      <c r="LX136" s="30"/>
      <c r="LY136" s="30"/>
      <c r="LZ136" s="30"/>
      <c r="MA136" s="30"/>
      <c r="MB136" s="30"/>
      <c r="MC136" s="30"/>
      <c r="MD136" s="34"/>
      <c r="ME136" s="34"/>
      <c r="MF136" s="34"/>
      <c r="MG136" s="34"/>
      <c r="MH136" s="34"/>
      <c r="MI136" s="34"/>
      <c r="MJ136" s="30"/>
      <c r="MK136" s="30"/>
      <c r="ML136" s="30"/>
      <c r="MM136" s="30"/>
      <c r="MN136" s="30"/>
      <c r="MO136" s="30"/>
      <c r="MP136" s="30"/>
      <c r="MQ136" s="30"/>
      <c r="MR136" s="34"/>
      <c r="MS136" s="34"/>
      <c r="MT136" s="34"/>
      <c r="MU136" s="34"/>
      <c r="MV136" s="34"/>
      <c r="MW136" s="34"/>
      <c r="MX136" s="30"/>
      <c r="MY136" s="30"/>
      <c r="MZ136" s="30"/>
      <c r="NA136" s="30"/>
      <c r="NB136" s="30"/>
      <c r="NC136" s="30"/>
      <c r="ND136" s="30"/>
      <c r="NE136" s="30"/>
      <c r="NF136" s="34"/>
      <c r="NG136" s="34"/>
      <c r="NH136" s="34"/>
      <c r="NI136" s="34"/>
      <c r="NJ136" s="34"/>
      <c r="NK136" s="34"/>
      <c r="NL136" s="30"/>
      <c r="NM136" s="30"/>
      <c r="NN136" s="30"/>
      <c r="NO136" s="30"/>
      <c r="NP136" s="30"/>
      <c r="NQ136" s="30"/>
      <c r="NR136" s="30"/>
      <c r="NS136" s="30"/>
      <c r="NT136" s="34"/>
      <c r="NU136" s="34"/>
      <c r="NV136" s="34"/>
      <c r="NW136" s="34"/>
      <c r="NX136" s="34"/>
      <c r="NY136" s="34"/>
      <c r="NZ136" s="30"/>
      <c r="OA136" s="30"/>
      <c r="OB136" s="30"/>
      <c r="OC136" s="30"/>
      <c r="OD136" s="30"/>
      <c r="OE136" s="30"/>
      <c r="OF136" s="30"/>
      <c r="OG136" s="30"/>
      <c r="OH136" s="34"/>
      <c r="OI136" s="34"/>
      <c r="OJ136" s="34"/>
      <c r="OK136" s="34"/>
      <c r="OL136" s="34"/>
      <c r="OM136" s="34"/>
      <c r="ON136" s="30"/>
      <c r="OO136" s="30"/>
      <c r="OP136" s="30"/>
      <c r="OQ136" s="30"/>
      <c r="OR136" s="30"/>
      <c r="OS136" s="30"/>
      <c r="OT136" s="30"/>
      <c r="OU136" s="30"/>
      <c r="OV136" s="34"/>
      <c r="OW136" s="34"/>
      <c r="OX136" s="34"/>
      <c r="OY136" s="34"/>
      <c r="OZ136" s="34"/>
      <c r="PA136" s="34"/>
      <c r="PB136" s="30"/>
      <c r="PC136" s="30"/>
      <c r="PD136" s="30"/>
      <c r="PE136" s="30"/>
      <c r="PF136" s="30"/>
      <c r="PG136" s="30"/>
      <c r="PH136" s="30"/>
      <c r="PI136" s="30"/>
      <c r="PJ136" s="34"/>
      <c r="PK136" s="34"/>
      <c r="PL136" s="34"/>
      <c r="PM136" s="34"/>
      <c r="PN136" s="34"/>
      <c r="PO136" s="34"/>
      <c r="PP136" s="30"/>
      <c r="PQ136" s="30"/>
      <c r="PR136" s="30"/>
      <c r="PS136" s="30"/>
      <c r="PT136" s="30"/>
      <c r="PU136" s="30"/>
      <c r="PV136" s="30"/>
      <c r="PW136" s="30"/>
      <c r="PX136" s="34"/>
      <c r="PY136" s="34"/>
      <c r="PZ136" s="34"/>
      <c r="QA136" s="34"/>
      <c r="QB136" s="34"/>
      <c r="QC136" s="34"/>
      <c r="QD136" s="30"/>
      <c r="QE136" s="30"/>
      <c r="QF136" s="30"/>
      <c r="QG136" s="30"/>
      <c r="QH136" s="30"/>
      <c r="QI136" s="30"/>
      <c r="QJ136" s="30"/>
      <c r="QK136" s="30"/>
      <c r="QL136" s="34"/>
      <c r="QM136" s="34"/>
      <c r="QN136" s="34"/>
      <c r="QO136" s="34"/>
      <c r="QP136" s="34"/>
      <c r="QQ136" s="34"/>
      <c r="QR136" s="30"/>
      <c r="QS136" s="30"/>
      <c r="QT136" s="30"/>
      <c r="QU136" s="30"/>
      <c r="QV136" s="30"/>
      <c r="QW136" s="30"/>
      <c r="QX136" s="30"/>
      <c r="QY136" s="30"/>
      <c r="QZ136" s="34"/>
      <c r="RA136" s="34"/>
      <c r="RB136" s="34"/>
      <c r="RC136" s="34"/>
      <c r="RD136" s="34"/>
      <c r="RE136" s="34"/>
      <c r="RF136" s="30"/>
      <c r="RG136" s="30"/>
      <c r="RH136" s="30"/>
      <c r="RI136" s="30"/>
      <c r="RJ136" s="30"/>
      <c r="RK136" s="30"/>
      <c r="RL136" s="30"/>
      <c r="RM136" s="30"/>
      <c r="RN136" s="34"/>
      <c r="RO136" s="34"/>
      <c r="RP136" s="34"/>
      <c r="RQ136" s="34"/>
      <c r="RR136" s="34"/>
      <c r="RS136" s="34"/>
      <c r="RT136" s="30"/>
      <c r="RU136" s="30"/>
      <c r="RV136" s="30"/>
      <c r="RW136" s="30"/>
      <c r="RX136" s="30"/>
      <c r="RY136" s="30"/>
      <c r="RZ136" s="30"/>
    </row>
    <row r="137" spans="1:494" ht="86.25" customHeight="1" thickBot="1" x14ac:dyDescent="0.35">
      <c r="A137" s="52" t="s">
        <v>126</v>
      </c>
      <c r="B137" s="39" t="s">
        <v>62</v>
      </c>
      <c r="C137" s="29" t="s">
        <v>6</v>
      </c>
      <c r="D137" s="26">
        <f t="shared" si="41"/>
        <v>500000</v>
      </c>
      <c r="E137" s="26">
        <v>0</v>
      </c>
      <c r="F137" s="26">
        <v>0</v>
      </c>
      <c r="G137" s="26">
        <v>0</v>
      </c>
      <c r="H137" s="26">
        <v>0</v>
      </c>
      <c r="I137" s="26">
        <v>500000</v>
      </c>
      <c r="J137" s="26">
        <v>0</v>
      </c>
      <c r="K137" s="26">
        <v>0</v>
      </c>
      <c r="L137" s="30"/>
      <c r="M137" s="30"/>
      <c r="N137" s="30"/>
      <c r="O137" s="30"/>
      <c r="P137" s="30"/>
      <c r="Q137" s="30"/>
      <c r="R137" s="30"/>
      <c r="S137" s="30"/>
      <c r="T137" s="34"/>
      <c r="U137" s="34"/>
      <c r="V137" s="34"/>
      <c r="W137" s="34"/>
      <c r="X137" s="34"/>
      <c r="Y137" s="34"/>
      <c r="Z137" s="30"/>
      <c r="AA137" s="30"/>
      <c r="AB137" s="30"/>
      <c r="AC137" s="30"/>
      <c r="AD137" s="30"/>
      <c r="AE137" s="30"/>
      <c r="AF137" s="30"/>
      <c r="AG137" s="30"/>
      <c r="AH137" s="34"/>
      <c r="AI137" s="34"/>
      <c r="AJ137" s="34"/>
      <c r="AK137" s="34"/>
      <c r="AL137" s="34"/>
      <c r="AM137" s="34"/>
      <c r="AN137" s="30"/>
      <c r="AO137" s="30"/>
      <c r="AP137" s="30"/>
      <c r="AQ137" s="30"/>
      <c r="AR137" s="30"/>
      <c r="AS137" s="30"/>
      <c r="AT137" s="30"/>
      <c r="AU137" s="30"/>
      <c r="AV137" s="34"/>
      <c r="AW137" s="34"/>
      <c r="AX137" s="34"/>
      <c r="AY137" s="34"/>
      <c r="AZ137" s="34"/>
      <c r="BA137" s="34"/>
      <c r="BB137" s="30"/>
      <c r="BC137" s="30"/>
      <c r="BD137" s="30"/>
      <c r="BE137" s="30"/>
      <c r="BF137" s="30"/>
      <c r="BG137" s="30"/>
      <c r="BH137" s="30"/>
      <c r="BI137" s="30"/>
      <c r="BJ137" s="34"/>
      <c r="BK137" s="34"/>
      <c r="BL137" s="34"/>
      <c r="BM137" s="34"/>
      <c r="BN137" s="34"/>
      <c r="BO137" s="34"/>
      <c r="BP137" s="30"/>
      <c r="BQ137" s="30"/>
      <c r="BR137" s="30"/>
      <c r="BS137" s="30"/>
      <c r="BT137" s="30"/>
      <c r="BU137" s="30"/>
      <c r="BV137" s="30"/>
      <c r="BW137" s="30"/>
      <c r="BX137" s="34"/>
      <c r="BY137" s="34"/>
      <c r="BZ137" s="34"/>
      <c r="CA137" s="34"/>
      <c r="CB137" s="34"/>
      <c r="CC137" s="34"/>
      <c r="CD137" s="30"/>
      <c r="CE137" s="30"/>
      <c r="CF137" s="30"/>
      <c r="CG137" s="30"/>
      <c r="CH137" s="30"/>
      <c r="CI137" s="30"/>
      <c r="CJ137" s="30"/>
      <c r="CK137" s="30"/>
      <c r="CL137" s="34"/>
      <c r="CM137" s="34"/>
      <c r="CN137" s="34"/>
      <c r="CO137" s="34"/>
      <c r="CP137" s="34"/>
      <c r="CQ137" s="34"/>
      <c r="CR137" s="30"/>
      <c r="CS137" s="30"/>
      <c r="CT137" s="30"/>
      <c r="CU137" s="30"/>
      <c r="CV137" s="30"/>
      <c r="CW137" s="30"/>
      <c r="CX137" s="30"/>
      <c r="CY137" s="30"/>
      <c r="CZ137" s="34"/>
      <c r="DA137" s="34"/>
      <c r="DB137" s="34"/>
      <c r="DC137" s="34"/>
      <c r="DD137" s="34"/>
      <c r="DE137" s="34"/>
      <c r="DF137" s="30"/>
      <c r="DG137" s="30"/>
      <c r="DH137" s="30"/>
      <c r="DI137" s="30"/>
      <c r="DJ137" s="30"/>
      <c r="DK137" s="30"/>
      <c r="DL137" s="30"/>
      <c r="DM137" s="30"/>
      <c r="DN137" s="34"/>
      <c r="DO137" s="34"/>
      <c r="DP137" s="34"/>
      <c r="DQ137" s="34"/>
      <c r="DR137" s="34"/>
      <c r="DS137" s="34"/>
      <c r="DT137" s="30"/>
      <c r="DU137" s="30"/>
      <c r="DV137" s="30"/>
      <c r="DW137" s="30"/>
      <c r="DX137" s="30"/>
      <c r="DY137" s="30"/>
      <c r="DZ137" s="30"/>
      <c r="EA137" s="30"/>
      <c r="EB137" s="34"/>
      <c r="EC137" s="34"/>
      <c r="ED137" s="34"/>
      <c r="EE137" s="34"/>
      <c r="EF137" s="34"/>
      <c r="EG137" s="34"/>
      <c r="EH137" s="30"/>
      <c r="EI137" s="30"/>
      <c r="EJ137" s="30"/>
      <c r="EK137" s="30"/>
      <c r="EL137" s="30"/>
      <c r="EM137" s="30"/>
      <c r="EN137" s="30"/>
      <c r="EO137" s="30"/>
      <c r="EP137" s="34"/>
      <c r="EQ137" s="34"/>
      <c r="ER137" s="34"/>
      <c r="ES137" s="34"/>
      <c r="ET137" s="34"/>
      <c r="EU137" s="34"/>
      <c r="EV137" s="30"/>
      <c r="EW137" s="30"/>
      <c r="EX137" s="30"/>
      <c r="EY137" s="30"/>
      <c r="EZ137" s="30"/>
      <c r="FA137" s="30"/>
      <c r="FB137" s="30"/>
      <c r="FC137" s="30"/>
      <c r="FD137" s="34"/>
      <c r="FE137" s="34"/>
      <c r="FF137" s="34"/>
      <c r="FG137" s="34"/>
      <c r="FH137" s="34"/>
      <c r="FI137" s="34"/>
      <c r="FJ137" s="30"/>
      <c r="FK137" s="30"/>
      <c r="FL137" s="30"/>
      <c r="FM137" s="30"/>
      <c r="FN137" s="30"/>
      <c r="FO137" s="30"/>
      <c r="FP137" s="30"/>
      <c r="FQ137" s="30"/>
      <c r="FR137" s="34"/>
      <c r="FS137" s="34"/>
      <c r="FT137" s="34"/>
      <c r="FU137" s="34"/>
      <c r="FV137" s="34"/>
      <c r="FW137" s="34"/>
      <c r="FX137" s="30"/>
      <c r="FY137" s="30"/>
      <c r="FZ137" s="30"/>
      <c r="GA137" s="30"/>
      <c r="GB137" s="30"/>
      <c r="GC137" s="30"/>
      <c r="GD137" s="30"/>
      <c r="GE137" s="30"/>
      <c r="GF137" s="34"/>
      <c r="GG137" s="34"/>
      <c r="GH137" s="34"/>
      <c r="GI137" s="34"/>
      <c r="GJ137" s="34"/>
      <c r="GK137" s="34"/>
      <c r="GL137" s="30"/>
      <c r="GM137" s="30"/>
      <c r="GN137" s="30"/>
      <c r="GO137" s="30"/>
      <c r="GP137" s="30"/>
      <c r="GQ137" s="30"/>
      <c r="GR137" s="30"/>
      <c r="GS137" s="30"/>
      <c r="GT137" s="34"/>
      <c r="GU137" s="34"/>
      <c r="GV137" s="34"/>
      <c r="GW137" s="34"/>
      <c r="GX137" s="34"/>
      <c r="GY137" s="34"/>
      <c r="GZ137" s="30"/>
      <c r="HA137" s="30"/>
      <c r="HB137" s="30"/>
      <c r="HC137" s="30"/>
      <c r="HD137" s="30"/>
      <c r="HE137" s="30"/>
      <c r="HF137" s="30"/>
      <c r="HG137" s="30"/>
      <c r="HH137" s="34"/>
      <c r="HI137" s="34"/>
      <c r="HJ137" s="34"/>
      <c r="HK137" s="34"/>
      <c r="HL137" s="34"/>
      <c r="HM137" s="34"/>
      <c r="HN137" s="30"/>
      <c r="HO137" s="30"/>
      <c r="HP137" s="30"/>
      <c r="HQ137" s="30"/>
      <c r="HR137" s="30"/>
      <c r="HS137" s="30"/>
      <c r="HT137" s="30"/>
      <c r="HU137" s="30"/>
      <c r="HV137" s="34"/>
      <c r="HW137" s="34"/>
      <c r="HX137" s="34"/>
      <c r="HY137" s="34"/>
      <c r="HZ137" s="34"/>
      <c r="IA137" s="34"/>
      <c r="IB137" s="30"/>
      <c r="IC137" s="30"/>
      <c r="ID137" s="30"/>
      <c r="IE137" s="30"/>
      <c r="IF137" s="30"/>
      <c r="IG137" s="30"/>
      <c r="IH137" s="30"/>
      <c r="II137" s="30"/>
      <c r="IJ137" s="34"/>
      <c r="IK137" s="34"/>
      <c r="IL137" s="34"/>
      <c r="IM137" s="34"/>
      <c r="IN137" s="34"/>
      <c r="IO137" s="34"/>
      <c r="IP137" s="30"/>
      <c r="IQ137" s="30"/>
      <c r="IR137" s="30"/>
      <c r="IS137" s="30"/>
      <c r="IT137" s="30"/>
      <c r="IU137" s="30"/>
      <c r="IV137" s="30"/>
      <c r="IW137" s="30"/>
      <c r="IX137" s="34"/>
      <c r="IY137" s="34"/>
      <c r="IZ137" s="34"/>
      <c r="JA137" s="34"/>
      <c r="JB137" s="34"/>
      <c r="JC137" s="34"/>
      <c r="JD137" s="30"/>
      <c r="JE137" s="30"/>
      <c r="JF137" s="30"/>
      <c r="JG137" s="30"/>
      <c r="JH137" s="30"/>
      <c r="JI137" s="30"/>
      <c r="JJ137" s="30"/>
      <c r="JK137" s="30"/>
      <c r="JL137" s="34"/>
      <c r="JM137" s="34"/>
      <c r="JN137" s="34"/>
      <c r="JO137" s="34"/>
      <c r="JP137" s="34"/>
      <c r="JQ137" s="34"/>
      <c r="JR137" s="30"/>
      <c r="JS137" s="30"/>
      <c r="JT137" s="30"/>
      <c r="JU137" s="30"/>
      <c r="JV137" s="30"/>
      <c r="JW137" s="30"/>
      <c r="JX137" s="30"/>
      <c r="JY137" s="30"/>
      <c r="JZ137" s="34"/>
      <c r="KA137" s="34"/>
      <c r="KB137" s="34"/>
      <c r="KC137" s="34"/>
      <c r="KD137" s="34"/>
      <c r="KE137" s="34"/>
      <c r="KF137" s="30"/>
      <c r="KG137" s="30"/>
      <c r="KH137" s="30"/>
      <c r="KI137" s="30"/>
      <c r="KJ137" s="30"/>
      <c r="KK137" s="30"/>
      <c r="KL137" s="30"/>
      <c r="KM137" s="30"/>
      <c r="KN137" s="34"/>
      <c r="KO137" s="34"/>
      <c r="KP137" s="34"/>
      <c r="KQ137" s="34"/>
      <c r="KR137" s="34"/>
      <c r="KS137" s="34"/>
      <c r="KT137" s="30"/>
      <c r="KU137" s="30"/>
      <c r="KV137" s="30"/>
      <c r="KW137" s="30"/>
      <c r="KX137" s="30"/>
      <c r="KY137" s="30"/>
      <c r="KZ137" s="30"/>
      <c r="LA137" s="30"/>
      <c r="LB137" s="34"/>
      <c r="LC137" s="34"/>
      <c r="LD137" s="34"/>
      <c r="LE137" s="34"/>
      <c r="LF137" s="34"/>
      <c r="LG137" s="34"/>
      <c r="LH137" s="30"/>
      <c r="LI137" s="30"/>
      <c r="LJ137" s="30"/>
      <c r="LK137" s="30"/>
      <c r="LL137" s="30"/>
      <c r="LM137" s="30"/>
      <c r="LN137" s="30"/>
      <c r="LO137" s="30"/>
      <c r="LP137" s="34"/>
      <c r="LQ137" s="34"/>
      <c r="LR137" s="34"/>
      <c r="LS137" s="34"/>
      <c r="LT137" s="34"/>
      <c r="LU137" s="34"/>
      <c r="LV137" s="30"/>
      <c r="LW137" s="30"/>
      <c r="LX137" s="30"/>
      <c r="LY137" s="30"/>
      <c r="LZ137" s="30"/>
      <c r="MA137" s="30"/>
      <c r="MB137" s="30"/>
      <c r="MC137" s="30"/>
      <c r="MD137" s="34"/>
      <c r="ME137" s="34"/>
      <c r="MF137" s="34"/>
      <c r="MG137" s="34"/>
      <c r="MH137" s="34"/>
      <c r="MI137" s="34"/>
      <c r="MJ137" s="30"/>
      <c r="MK137" s="30"/>
      <c r="ML137" s="30"/>
      <c r="MM137" s="30"/>
      <c r="MN137" s="30"/>
      <c r="MO137" s="30"/>
      <c r="MP137" s="30"/>
      <c r="MQ137" s="30"/>
      <c r="MR137" s="34"/>
      <c r="MS137" s="34"/>
      <c r="MT137" s="34"/>
      <c r="MU137" s="34"/>
      <c r="MV137" s="34"/>
      <c r="MW137" s="34"/>
      <c r="MX137" s="30"/>
      <c r="MY137" s="30"/>
      <c r="MZ137" s="30"/>
      <c r="NA137" s="30"/>
      <c r="NB137" s="30"/>
      <c r="NC137" s="30"/>
      <c r="ND137" s="30"/>
      <c r="NE137" s="30"/>
      <c r="NF137" s="34"/>
      <c r="NG137" s="34"/>
      <c r="NH137" s="34"/>
      <c r="NI137" s="34"/>
      <c r="NJ137" s="34"/>
      <c r="NK137" s="34"/>
      <c r="NL137" s="30"/>
      <c r="NM137" s="30"/>
      <c r="NN137" s="30"/>
      <c r="NO137" s="30"/>
      <c r="NP137" s="30"/>
      <c r="NQ137" s="30"/>
      <c r="NR137" s="30"/>
      <c r="NS137" s="30"/>
      <c r="NT137" s="34"/>
      <c r="NU137" s="34"/>
      <c r="NV137" s="34"/>
      <c r="NW137" s="34"/>
      <c r="NX137" s="34"/>
      <c r="NY137" s="34"/>
      <c r="NZ137" s="30"/>
      <c r="OA137" s="30"/>
      <c r="OB137" s="30"/>
      <c r="OC137" s="30"/>
      <c r="OD137" s="30"/>
      <c r="OE137" s="30"/>
      <c r="OF137" s="30"/>
      <c r="OG137" s="30"/>
      <c r="OH137" s="34"/>
      <c r="OI137" s="34"/>
      <c r="OJ137" s="34"/>
      <c r="OK137" s="34"/>
      <c r="OL137" s="34"/>
      <c r="OM137" s="34"/>
      <c r="ON137" s="30"/>
      <c r="OO137" s="30"/>
      <c r="OP137" s="30"/>
      <c r="OQ137" s="30"/>
      <c r="OR137" s="30"/>
      <c r="OS137" s="30"/>
      <c r="OT137" s="30"/>
      <c r="OU137" s="30"/>
      <c r="OV137" s="34"/>
      <c r="OW137" s="34"/>
      <c r="OX137" s="34"/>
      <c r="OY137" s="34"/>
      <c r="OZ137" s="34"/>
      <c r="PA137" s="34"/>
      <c r="PB137" s="30"/>
      <c r="PC137" s="30"/>
      <c r="PD137" s="30"/>
      <c r="PE137" s="30"/>
      <c r="PF137" s="30"/>
      <c r="PG137" s="30"/>
      <c r="PH137" s="30"/>
      <c r="PI137" s="30"/>
      <c r="PJ137" s="34"/>
      <c r="PK137" s="34"/>
      <c r="PL137" s="34"/>
      <c r="PM137" s="34"/>
      <c r="PN137" s="34"/>
      <c r="PO137" s="34"/>
      <c r="PP137" s="30"/>
      <c r="PQ137" s="30"/>
      <c r="PR137" s="30"/>
      <c r="PS137" s="30"/>
      <c r="PT137" s="30"/>
      <c r="PU137" s="30"/>
      <c r="PV137" s="30"/>
      <c r="PW137" s="30"/>
      <c r="PX137" s="34"/>
      <c r="PY137" s="34"/>
      <c r="PZ137" s="34"/>
      <c r="QA137" s="34"/>
      <c r="QB137" s="34"/>
      <c r="QC137" s="34"/>
      <c r="QD137" s="30"/>
      <c r="QE137" s="30"/>
      <c r="QF137" s="30"/>
      <c r="QG137" s="30"/>
      <c r="QH137" s="30"/>
      <c r="QI137" s="30"/>
      <c r="QJ137" s="30"/>
      <c r="QK137" s="30"/>
      <c r="QL137" s="34"/>
      <c r="QM137" s="34"/>
      <c r="QN137" s="34"/>
      <c r="QO137" s="34"/>
      <c r="QP137" s="34"/>
      <c r="QQ137" s="34"/>
      <c r="QR137" s="30"/>
      <c r="QS137" s="30"/>
      <c r="QT137" s="30"/>
      <c r="QU137" s="30"/>
      <c r="QV137" s="30"/>
      <c r="QW137" s="30"/>
      <c r="QX137" s="30"/>
      <c r="QY137" s="30"/>
      <c r="QZ137" s="34"/>
      <c r="RA137" s="34"/>
      <c r="RB137" s="34"/>
      <c r="RC137" s="34"/>
      <c r="RD137" s="34"/>
      <c r="RE137" s="34"/>
      <c r="RF137" s="30"/>
      <c r="RG137" s="30"/>
      <c r="RH137" s="30"/>
      <c r="RI137" s="30"/>
      <c r="RJ137" s="30"/>
      <c r="RK137" s="30"/>
      <c r="RL137" s="30"/>
      <c r="RM137" s="30"/>
      <c r="RN137" s="34"/>
      <c r="RO137" s="34"/>
      <c r="RP137" s="34"/>
      <c r="RQ137" s="34"/>
      <c r="RR137" s="34"/>
      <c r="RS137" s="34"/>
      <c r="RT137" s="30"/>
      <c r="RU137" s="30"/>
      <c r="RV137" s="30"/>
      <c r="RW137" s="30"/>
      <c r="RX137" s="30"/>
      <c r="RY137" s="30"/>
      <c r="RZ137" s="30"/>
    </row>
    <row r="138" spans="1:494" ht="98.25" customHeight="1" x14ac:dyDescent="0.3">
      <c r="A138" s="64" t="s">
        <v>127</v>
      </c>
      <c r="B138" s="64"/>
      <c r="C138" s="64"/>
      <c r="D138" s="64"/>
      <c r="E138" s="64"/>
      <c r="F138" s="64"/>
      <c r="G138" s="64"/>
      <c r="H138" s="64"/>
      <c r="I138" s="64"/>
      <c r="J138" s="64"/>
      <c r="K138" s="64"/>
      <c r="L138" s="30"/>
      <c r="M138" s="30"/>
      <c r="N138" s="30"/>
      <c r="O138" s="30"/>
      <c r="P138" s="30"/>
      <c r="Q138" s="30"/>
      <c r="R138" s="30"/>
      <c r="S138" s="30"/>
      <c r="T138" s="34"/>
      <c r="U138" s="34"/>
      <c r="V138" s="34"/>
      <c r="W138" s="34"/>
      <c r="X138" s="34"/>
      <c r="Y138" s="34"/>
      <c r="Z138" s="30"/>
      <c r="AA138" s="30"/>
      <c r="AB138" s="30"/>
      <c r="AC138" s="30"/>
      <c r="AD138" s="30"/>
      <c r="AE138" s="30"/>
      <c r="AF138" s="30"/>
      <c r="AG138" s="30"/>
      <c r="AH138" s="34"/>
      <c r="AI138" s="34"/>
      <c r="AJ138" s="34"/>
      <c r="AK138" s="34"/>
      <c r="AL138" s="34"/>
      <c r="AM138" s="34"/>
      <c r="AN138" s="30"/>
      <c r="AO138" s="30"/>
      <c r="AP138" s="30"/>
      <c r="AQ138" s="30"/>
      <c r="AR138" s="30"/>
      <c r="AS138" s="30"/>
      <c r="AT138" s="30"/>
      <c r="AU138" s="30"/>
      <c r="AV138" s="34"/>
      <c r="AW138" s="34"/>
      <c r="AX138" s="34"/>
      <c r="AY138" s="34"/>
      <c r="AZ138" s="34"/>
      <c r="BA138" s="34"/>
      <c r="BB138" s="30"/>
      <c r="BC138" s="30"/>
      <c r="BD138" s="30"/>
      <c r="BE138" s="30"/>
      <c r="BF138" s="30"/>
      <c r="BG138" s="30"/>
      <c r="BH138" s="30"/>
      <c r="BI138" s="30"/>
      <c r="BJ138" s="34"/>
      <c r="BK138" s="34"/>
      <c r="BL138" s="34"/>
      <c r="BM138" s="34"/>
      <c r="BN138" s="34"/>
      <c r="BO138" s="34"/>
      <c r="BP138" s="30"/>
      <c r="BQ138" s="30"/>
      <c r="BR138" s="30"/>
      <c r="BS138" s="30"/>
      <c r="BT138" s="30"/>
      <c r="BU138" s="30"/>
      <c r="BV138" s="30"/>
      <c r="BW138" s="30"/>
      <c r="BX138" s="34"/>
      <c r="BY138" s="34"/>
      <c r="BZ138" s="34"/>
      <c r="CA138" s="34"/>
      <c r="CB138" s="34"/>
      <c r="CC138" s="34"/>
      <c r="CD138" s="30"/>
      <c r="CE138" s="30"/>
      <c r="CF138" s="30"/>
      <c r="CG138" s="30"/>
      <c r="CH138" s="30"/>
      <c r="CI138" s="30"/>
      <c r="CJ138" s="30"/>
      <c r="CK138" s="30"/>
      <c r="CL138" s="34"/>
      <c r="CM138" s="34"/>
      <c r="CN138" s="34"/>
      <c r="CO138" s="34"/>
      <c r="CP138" s="34"/>
      <c r="CQ138" s="34"/>
      <c r="CR138" s="30"/>
      <c r="CS138" s="30"/>
      <c r="CT138" s="30"/>
      <c r="CU138" s="30"/>
      <c r="CV138" s="30"/>
      <c r="CW138" s="30"/>
      <c r="CX138" s="30"/>
      <c r="CY138" s="30"/>
      <c r="CZ138" s="34"/>
      <c r="DA138" s="34"/>
      <c r="DB138" s="34"/>
      <c r="DC138" s="34"/>
      <c r="DD138" s="34"/>
      <c r="DE138" s="34"/>
      <c r="DF138" s="30"/>
      <c r="DG138" s="30"/>
      <c r="DH138" s="30"/>
      <c r="DI138" s="30"/>
      <c r="DJ138" s="30"/>
      <c r="DK138" s="30"/>
      <c r="DL138" s="30"/>
      <c r="DM138" s="30"/>
      <c r="DN138" s="34"/>
      <c r="DO138" s="34"/>
      <c r="DP138" s="34"/>
      <c r="DQ138" s="34"/>
      <c r="DR138" s="34"/>
      <c r="DS138" s="34"/>
      <c r="DT138" s="30"/>
      <c r="DU138" s="30"/>
      <c r="DV138" s="30"/>
      <c r="DW138" s="30"/>
      <c r="DX138" s="30"/>
      <c r="DY138" s="30"/>
      <c r="DZ138" s="30"/>
      <c r="EA138" s="30"/>
      <c r="EB138" s="34"/>
      <c r="EC138" s="34"/>
      <c r="ED138" s="34"/>
      <c r="EE138" s="34"/>
      <c r="EF138" s="34"/>
      <c r="EG138" s="34"/>
      <c r="EH138" s="30"/>
      <c r="EI138" s="30"/>
      <c r="EJ138" s="30"/>
      <c r="EK138" s="30"/>
      <c r="EL138" s="30"/>
      <c r="EM138" s="30"/>
      <c r="EN138" s="30"/>
      <c r="EO138" s="30"/>
      <c r="EP138" s="34"/>
      <c r="EQ138" s="34"/>
      <c r="ER138" s="34"/>
      <c r="ES138" s="34"/>
      <c r="ET138" s="34"/>
      <c r="EU138" s="34"/>
      <c r="EV138" s="30"/>
      <c r="EW138" s="30"/>
      <c r="EX138" s="30"/>
      <c r="EY138" s="30"/>
      <c r="EZ138" s="30"/>
      <c r="FA138" s="30"/>
      <c r="FB138" s="30"/>
      <c r="FC138" s="30"/>
      <c r="FD138" s="34"/>
      <c r="FE138" s="34"/>
      <c r="FF138" s="34"/>
      <c r="FG138" s="34"/>
      <c r="FH138" s="34"/>
      <c r="FI138" s="34"/>
      <c r="FJ138" s="30"/>
      <c r="FK138" s="30"/>
      <c r="FL138" s="30"/>
      <c r="FM138" s="30"/>
      <c r="FN138" s="30"/>
      <c r="FO138" s="30"/>
      <c r="FP138" s="30"/>
      <c r="FQ138" s="30"/>
      <c r="FR138" s="34"/>
      <c r="FS138" s="34"/>
      <c r="FT138" s="34"/>
      <c r="FU138" s="34"/>
      <c r="FV138" s="34"/>
      <c r="FW138" s="34"/>
      <c r="FX138" s="30"/>
      <c r="FY138" s="30"/>
      <c r="FZ138" s="30"/>
      <c r="GA138" s="30"/>
      <c r="GB138" s="30"/>
      <c r="GC138" s="30"/>
      <c r="GD138" s="30"/>
      <c r="GE138" s="30"/>
      <c r="GF138" s="34"/>
      <c r="GG138" s="34"/>
      <c r="GH138" s="34"/>
      <c r="GI138" s="34"/>
      <c r="GJ138" s="34"/>
      <c r="GK138" s="34"/>
      <c r="GL138" s="30"/>
      <c r="GM138" s="30"/>
      <c r="GN138" s="30"/>
      <c r="GO138" s="30"/>
      <c r="GP138" s="30"/>
      <c r="GQ138" s="30"/>
      <c r="GR138" s="30"/>
      <c r="GS138" s="30"/>
      <c r="GT138" s="34"/>
      <c r="GU138" s="34"/>
      <c r="GV138" s="34"/>
      <c r="GW138" s="34"/>
      <c r="GX138" s="34"/>
      <c r="GY138" s="34"/>
      <c r="GZ138" s="30"/>
      <c r="HA138" s="30"/>
      <c r="HB138" s="30"/>
      <c r="HC138" s="30"/>
      <c r="HD138" s="30"/>
      <c r="HE138" s="30"/>
      <c r="HF138" s="30"/>
      <c r="HG138" s="30"/>
      <c r="HH138" s="34"/>
      <c r="HI138" s="34"/>
      <c r="HJ138" s="34"/>
      <c r="HK138" s="34"/>
      <c r="HL138" s="34"/>
      <c r="HM138" s="34"/>
      <c r="HN138" s="30"/>
      <c r="HO138" s="30"/>
      <c r="HP138" s="30"/>
      <c r="HQ138" s="30"/>
      <c r="HR138" s="30"/>
      <c r="HS138" s="30"/>
      <c r="HT138" s="30"/>
      <c r="HU138" s="30"/>
      <c r="HV138" s="34"/>
      <c r="HW138" s="34"/>
      <c r="HX138" s="34"/>
      <c r="HY138" s="34"/>
      <c r="HZ138" s="34"/>
      <c r="IA138" s="34"/>
      <c r="IB138" s="30"/>
      <c r="IC138" s="30"/>
      <c r="ID138" s="30"/>
      <c r="IE138" s="30"/>
      <c r="IF138" s="30"/>
      <c r="IG138" s="30"/>
      <c r="IH138" s="30"/>
      <c r="II138" s="30"/>
      <c r="IJ138" s="34"/>
      <c r="IK138" s="34"/>
      <c r="IL138" s="34"/>
      <c r="IM138" s="34"/>
      <c r="IN138" s="34"/>
      <c r="IO138" s="34"/>
      <c r="IP138" s="30"/>
      <c r="IQ138" s="30"/>
      <c r="IR138" s="30"/>
      <c r="IS138" s="30"/>
      <c r="IT138" s="30"/>
      <c r="IU138" s="30"/>
      <c r="IV138" s="30"/>
      <c r="IW138" s="30"/>
      <c r="IX138" s="34"/>
      <c r="IY138" s="34"/>
      <c r="IZ138" s="34"/>
      <c r="JA138" s="34"/>
      <c r="JB138" s="34"/>
      <c r="JC138" s="34"/>
      <c r="JD138" s="30"/>
      <c r="JE138" s="30"/>
      <c r="JF138" s="30"/>
      <c r="JG138" s="30"/>
      <c r="JH138" s="30"/>
      <c r="JI138" s="30"/>
      <c r="JJ138" s="30"/>
      <c r="JK138" s="30"/>
      <c r="JL138" s="34"/>
      <c r="JM138" s="34"/>
      <c r="JN138" s="34"/>
      <c r="JO138" s="34"/>
      <c r="JP138" s="34"/>
      <c r="JQ138" s="34"/>
      <c r="JR138" s="30"/>
      <c r="JS138" s="30"/>
      <c r="JT138" s="30"/>
      <c r="JU138" s="30"/>
      <c r="JV138" s="30"/>
      <c r="JW138" s="30"/>
      <c r="JX138" s="30"/>
      <c r="JY138" s="30"/>
      <c r="JZ138" s="34"/>
      <c r="KA138" s="34"/>
      <c r="KB138" s="34"/>
      <c r="KC138" s="34"/>
      <c r="KD138" s="34"/>
      <c r="KE138" s="34"/>
      <c r="KF138" s="30"/>
      <c r="KG138" s="30"/>
      <c r="KH138" s="30"/>
      <c r="KI138" s="30"/>
      <c r="KJ138" s="30"/>
      <c r="KK138" s="30"/>
      <c r="KL138" s="30"/>
      <c r="KM138" s="30"/>
      <c r="KN138" s="34"/>
      <c r="KO138" s="34"/>
      <c r="KP138" s="34"/>
      <c r="KQ138" s="34"/>
      <c r="KR138" s="34"/>
      <c r="KS138" s="34"/>
      <c r="KT138" s="30"/>
      <c r="KU138" s="30"/>
      <c r="KV138" s="30"/>
      <c r="KW138" s="30"/>
      <c r="KX138" s="30"/>
      <c r="KY138" s="30"/>
      <c r="KZ138" s="30"/>
      <c r="LA138" s="30"/>
      <c r="LB138" s="34"/>
      <c r="LC138" s="34"/>
      <c r="LD138" s="34"/>
      <c r="LE138" s="34"/>
      <c r="LF138" s="34"/>
      <c r="LG138" s="34"/>
      <c r="LH138" s="30"/>
      <c r="LI138" s="30"/>
      <c r="LJ138" s="30"/>
      <c r="LK138" s="30"/>
      <c r="LL138" s="30"/>
      <c r="LM138" s="30"/>
      <c r="LN138" s="30"/>
      <c r="LO138" s="30"/>
      <c r="LP138" s="34"/>
      <c r="LQ138" s="34"/>
      <c r="LR138" s="34"/>
      <c r="LS138" s="34"/>
      <c r="LT138" s="34"/>
      <c r="LU138" s="34"/>
      <c r="LV138" s="30"/>
      <c r="LW138" s="30"/>
      <c r="LX138" s="30"/>
      <c r="LY138" s="30"/>
      <c r="LZ138" s="30"/>
      <c r="MA138" s="30"/>
      <c r="MB138" s="30"/>
      <c r="MC138" s="30"/>
      <c r="MD138" s="34"/>
      <c r="ME138" s="34"/>
      <c r="MF138" s="34"/>
      <c r="MG138" s="34"/>
      <c r="MH138" s="34"/>
      <c r="MI138" s="34"/>
      <c r="MJ138" s="30"/>
      <c r="MK138" s="30"/>
      <c r="ML138" s="30"/>
      <c r="MM138" s="30"/>
      <c r="MN138" s="30"/>
      <c r="MO138" s="30"/>
      <c r="MP138" s="30"/>
      <c r="MQ138" s="30"/>
      <c r="MR138" s="34"/>
      <c r="MS138" s="34"/>
      <c r="MT138" s="34"/>
      <c r="MU138" s="34"/>
      <c r="MV138" s="34"/>
      <c r="MW138" s="34"/>
      <c r="MX138" s="30"/>
      <c r="MY138" s="30"/>
      <c r="MZ138" s="30"/>
      <c r="NA138" s="30"/>
      <c r="NB138" s="30"/>
      <c r="NC138" s="30"/>
      <c r="ND138" s="30"/>
      <c r="NE138" s="30"/>
      <c r="NF138" s="34"/>
      <c r="NG138" s="34"/>
      <c r="NH138" s="34"/>
      <c r="NI138" s="34"/>
      <c r="NJ138" s="34"/>
      <c r="NK138" s="34"/>
      <c r="NL138" s="30"/>
      <c r="NM138" s="30"/>
      <c r="NN138" s="30"/>
      <c r="NO138" s="30"/>
      <c r="NP138" s="30"/>
      <c r="NQ138" s="30"/>
      <c r="NR138" s="30"/>
      <c r="NS138" s="30"/>
      <c r="NT138" s="34"/>
      <c r="NU138" s="34"/>
      <c r="NV138" s="34"/>
      <c r="NW138" s="34"/>
      <c r="NX138" s="34"/>
      <c r="NY138" s="34"/>
      <c r="NZ138" s="30"/>
      <c r="OA138" s="30"/>
      <c r="OB138" s="30"/>
      <c r="OC138" s="30"/>
      <c r="OD138" s="30"/>
      <c r="OE138" s="30"/>
      <c r="OF138" s="30"/>
      <c r="OG138" s="30"/>
      <c r="OH138" s="34"/>
      <c r="OI138" s="34"/>
      <c r="OJ138" s="34"/>
      <c r="OK138" s="34"/>
      <c r="OL138" s="34"/>
      <c r="OM138" s="34"/>
      <c r="ON138" s="30"/>
      <c r="OO138" s="30"/>
      <c r="OP138" s="30"/>
      <c r="OQ138" s="30"/>
      <c r="OR138" s="30"/>
      <c r="OS138" s="30"/>
      <c r="OT138" s="30"/>
      <c r="OU138" s="30"/>
      <c r="OV138" s="34"/>
      <c r="OW138" s="34"/>
      <c r="OX138" s="34"/>
      <c r="OY138" s="34"/>
      <c r="OZ138" s="34"/>
      <c r="PA138" s="34"/>
      <c r="PB138" s="30"/>
      <c r="PC138" s="30"/>
      <c r="PD138" s="30"/>
      <c r="PE138" s="30"/>
      <c r="PF138" s="30"/>
      <c r="PG138" s="30"/>
      <c r="PH138" s="30"/>
      <c r="PI138" s="30"/>
      <c r="PJ138" s="34"/>
      <c r="PK138" s="34"/>
      <c r="PL138" s="34"/>
      <c r="PM138" s="34"/>
      <c r="PN138" s="34"/>
      <c r="PO138" s="34"/>
      <c r="PP138" s="30"/>
      <c r="PQ138" s="30"/>
      <c r="PR138" s="30"/>
      <c r="PS138" s="30"/>
      <c r="PT138" s="30"/>
      <c r="PU138" s="30"/>
      <c r="PV138" s="30"/>
      <c r="PW138" s="30"/>
      <c r="PX138" s="34"/>
      <c r="PY138" s="34"/>
      <c r="PZ138" s="34"/>
      <c r="QA138" s="34"/>
      <c r="QB138" s="34"/>
      <c r="QC138" s="34"/>
      <c r="QD138" s="30"/>
      <c r="QE138" s="30"/>
      <c r="QF138" s="30"/>
      <c r="QG138" s="30"/>
      <c r="QH138" s="30"/>
      <c r="QI138" s="30"/>
      <c r="QJ138" s="30"/>
      <c r="QK138" s="30"/>
      <c r="QL138" s="34"/>
      <c r="QM138" s="34"/>
      <c r="QN138" s="34"/>
      <c r="QO138" s="34"/>
      <c r="QP138" s="34"/>
      <c r="QQ138" s="34"/>
      <c r="QR138" s="30"/>
      <c r="QS138" s="30"/>
      <c r="QT138" s="30"/>
      <c r="QU138" s="30"/>
      <c r="QV138" s="30"/>
      <c r="QW138" s="30"/>
      <c r="QX138" s="30"/>
      <c r="QY138" s="30"/>
      <c r="QZ138" s="34"/>
      <c r="RA138" s="34"/>
      <c r="RB138" s="34"/>
      <c r="RC138" s="34"/>
      <c r="RD138" s="34"/>
      <c r="RE138" s="34"/>
      <c r="RF138" s="30"/>
      <c r="RG138" s="30"/>
      <c r="RH138" s="30"/>
      <c r="RI138" s="30"/>
      <c r="RJ138" s="30"/>
      <c r="RK138" s="30"/>
      <c r="RL138" s="30"/>
      <c r="RM138" s="30"/>
      <c r="RN138" s="34"/>
      <c r="RO138" s="34"/>
      <c r="RP138" s="34"/>
      <c r="RQ138" s="34"/>
      <c r="RR138" s="34"/>
      <c r="RS138" s="34"/>
      <c r="RT138" s="30"/>
      <c r="RU138" s="30"/>
      <c r="RV138" s="30"/>
      <c r="RW138" s="30"/>
      <c r="RX138" s="30"/>
      <c r="RY138" s="30"/>
      <c r="RZ138" s="30"/>
    </row>
    <row r="139" spans="1:494" ht="98.25" customHeight="1" x14ac:dyDescent="0.3">
      <c r="A139" s="53"/>
      <c r="B139" s="40"/>
      <c r="C139" s="41"/>
      <c r="D139" s="30"/>
      <c r="E139" s="30"/>
      <c r="F139" s="30"/>
      <c r="G139" s="30"/>
      <c r="H139" s="30"/>
      <c r="I139" s="30"/>
      <c r="J139" s="30"/>
      <c r="K139" s="26"/>
      <c r="L139" s="30"/>
      <c r="M139" s="30"/>
      <c r="N139" s="30"/>
      <c r="O139" s="30"/>
      <c r="P139" s="30"/>
      <c r="Q139" s="30"/>
      <c r="R139" s="30"/>
      <c r="S139" s="30"/>
      <c r="T139" s="34"/>
      <c r="U139" s="34"/>
      <c r="V139" s="34"/>
      <c r="W139" s="34"/>
      <c r="X139" s="34"/>
      <c r="Y139" s="34"/>
      <c r="Z139" s="30"/>
      <c r="AA139" s="30"/>
      <c r="AB139" s="30"/>
      <c r="AC139" s="30"/>
      <c r="AD139" s="30"/>
      <c r="AE139" s="30"/>
      <c r="AF139" s="30"/>
      <c r="AG139" s="30"/>
      <c r="AH139" s="34"/>
      <c r="AI139" s="34"/>
      <c r="AJ139" s="34"/>
      <c r="AK139" s="34"/>
      <c r="AL139" s="34"/>
      <c r="AM139" s="34"/>
      <c r="AN139" s="30"/>
      <c r="AO139" s="30"/>
      <c r="AP139" s="30"/>
      <c r="AQ139" s="30"/>
      <c r="AR139" s="30"/>
      <c r="AS139" s="30"/>
      <c r="AT139" s="30"/>
      <c r="AU139" s="30"/>
      <c r="AV139" s="34"/>
      <c r="AW139" s="34"/>
      <c r="AX139" s="34"/>
      <c r="AY139" s="34"/>
      <c r="AZ139" s="34"/>
      <c r="BA139" s="34"/>
      <c r="BB139" s="30"/>
      <c r="BC139" s="30"/>
      <c r="BD139" s="30"/>
      <c r="BE139" s="30"/>
      <c r="BF139" s="30"/>
      <c r="BG139" s="30"/>
      <c r="BH139" s="30"/>
      <c r="BI139" s="30"/>
      <c r="BJ139" s="34"/>
      <c r="BK139" s="34"/>
      <c r="BL139" s="34"/>
      <c r="BM139" s="34"/>
      <c r="BN139" s="34"/>
      <c r="BO139" s="34"/>
      <c r="BP139" s="30"/>
      <c r="BQ139" s="30"/>
      <c r="BR139" s="30"/>
      <c r="BS139" s="30"/>
      <c r="BT139" s="30"/>
      <c r="BU139" s="30"/>
      <c r="BV139" s="30"/>
      <c r="BW139" s="30"/>
      <c r="BX139" s="34"/>
      <c r="BY139" s="34"/>
      <c r="BZ139" s="34"/>
      <c r="CA139" s="34"/>
      <c r="CB139" s="34"/>
      <c r="CC139" s="34"/>
      <c r="CD139" s="30"/>
      <c r="CE139" s="30"/>
      <c r="CF139" s="30"/>
      <c r="CG139" s="30"/>
      <c r="CH139" s="30"/>
      <c r="CI139" s="30"/>
      <c r="CJ139" s="30"/>
      <c r="CK139" s="30"/>
      <c r="CL139" s="34"/>
      <c r="CM139" s="34"/>
      <c r="CN139" s="34"/>
      <c r="CO139" s="34"/>
      <c r="CP139" s="34"/>
      <c r="CQ139" s="34"/>
      <c r="CR139" s="30"/>
      <c r="CS139" s="30"/>
      <c r="CT139" s="30"/>
      <c r="CU139" s="30"/>
      <c r="CV139" s="30"/>
      <c r="CW139" s="30"/>
      <c r="CX139" s="30"/>
      <c r="CY139" s="30"/>
      <c r="CZ139" s="34"/>
      <c r="DA139" s="34"/>
      <c r="DB139" s="34"/>
      <c r="DC139" s="34"/>
      <c r="DD139" s="34"/>
      <c r="DE139" s="34"/>
      <c r="DF139" s="30"/>
      <c r="DG139" s="30"/>
      <c r="DH139" s="30"/>
      <c r="DI139" s="30"/>
      <c r="DJ139" s="30"/>
      <c r="DK139" s="30"/>
      <c r="DL139" s="30"/>
      <c r="DM139" s="30"/>
      <c r="DN139" s="34"/>
      <c r="DO139" s="34"/>
      <c r="DP139" s="34"/>
      <c r="DQ139" s="34"/>
      <c r="DR139" s="34"/>
      <c r="DS139" s="34"/>
      <c r="DT139" s="30"/>
      <c r="DU139" s="30"/>
      <c r="DV139" s="30"/>
      <c r="DW139" s="30"/>
      <c r="DX139" s="30"/>
      <c r="DY139" s="30"/>
      <c r="DZ139" s="30"/>
      <c r="EA139" s="30"/>
      <c r="EB139" s="34"/>
      <c r="EC139" s="34"/>
      <c r="ED139" s="34"/>
      <c r="EE139" s="34"/>
      <c r="EF139" s="34"/>
      <c r="EG139" s="34"/>
      <c r="EH139" s="30"/>
      <c r="EI139" s="30"/>
      <c r="EJ139" s="30"/>
      <c r="EK139" s="30"/>
      <c r="EL139" s="30"/>
      <c r="EM139" s="30"/>
      <c r="EN139" s="30"/>
      <c r="EO139" s="30"/>
      <c r="EP139" s="34"/>
      <c r="EQ139" s="34"/>
      <c r="ER139" s="34"/>
      <c r="ES139" s="34"/>
      <c r="ET139" s="34"/>
      <c r="EU139" s="34"/>
      <c r="EV139" s="30"/>
      <c r="EW139" s="30"/>
      <c r="EX139" s="30"/>
      <c r="EY139" s="30"/>
      <c r="EZ139" s="30"/>
      <c r="FA139" s="30"/>
      <c r="FB139" s="30"/>
      <c r="FC139" s="30"/>
      <c r="FD139" s="34"/>
      <c r="FE139" s="34"/>
      <c r="FF139" s="34"/>
      <c r="FG139" s="34"/>
      <c r="FH139" s="34"/>
      <c r="FI139" s="34"/>
      <c r="FJ139" s="30"/>
      <c r="FK139" s="30"/>
      <c r="FL139" s="30"/>
      <c r="FM139" s="30"/>
      <c r="FN139" s="30"/>
      <c r="FO139" s="30"/>
      <c r="FP139" s="30"/>
      <c r="FQ139" s="30"/>
      <c r="FR139" s="34"/>
      <c r="FS139" s="34"/>
      <c r="FT139" s="34"/>
      <c r="FU139" s="34"/>
      <c r="FV139" s="34"/>
      <c r="FW139" s="34"/>
      <c r="FX139" s="30"/>
      <c r="FY139" s="30"/>
      <c r="FZ139" s="30"/>
      <c r="GA139" s="30"/>
      <c r="GB139" s="30"/>
      <c r="GC139" s="30"/>
      <c r="GD139" s="30"/>
      <c r="GE139" s="30"/>
      <c r="GF139" s="34"/>
      <c r="GG139" s="34"/>
      <c r="GH139" s="34"/>
      <c r="GI139" s="34"/>
      <c r="GJ139" s="34"/>
      <c r="GK139" s="34"/>
      <c r="GL139" s="30"/>
      <c r="GM139" s="30"/>
      <c r="GN139" s="30"/>
      <c r="GO139" s="30"/>
      <c r="GP139" s="30"/>
      <c r="GQ139" s="30"/>
      <c r="GR139" s="30"/>
      <c r="GS139" s="30"/>
      <c r="GT139" s="34"/>
      <c r="GU139" s="34"/>
      <c r="GV139" s="34"/>
      <c r="GW139" s="34"/>
      <c r="GX139" s="34"/>
      <c r="GY139" s="34"/>
      <c r="GZ139" s="30"/>
      <c r="HA139" s="30"/>
      <c r="HB139" s="30"/>
      <c r="HC139" s="30"/>
      <c r="HD139" s="30"/>
      <c r="HE139" s="30"/>
      <c r="HF139" s="30"/>
      <c r="HG139" s="30"/>
      <c r="HH139" s="34"/>
      <c r="HI139" s="34"/>
      <c r="HJ139" s="34"/>
      <c r="HK139" s="34"/>
      <c r="HL139" s="34"/>
      <c r="HM139" s="34"/>
      <c r="HN139" s="30"/>
      <c r="HO139" s="30"/>
      <c r="HP139" s="30"/>
      <c r="HQ139" s="30"/>
      <c r="HR139" s="30"/>
      <c r="HS139" s="30"/>
      <c r="HT139" s="30"/>
      <c r="HU139" s="30"/>
      <c r="HV139" s="34"/>
      <c r="HW139" s="34"/>
      <c r="HX139" s="34"/>
      <c r="HY139" s="34"/>
      <c r="HZ139" s="34"/>
      <c r="IA139" s="34"/>
      <c r="IB139" s="30"/>
      <c r="IC139" s="30"/>
      <c r="ID139" s="30"/>
      <c r="IE139" s="30"/>
      <c r="IF139" s="30"/>
      <c r="IG139" s="30"/>
      <c r="IH139" s="30"/>
      <c r="II139" s="30"/>
      <c r="IJ139" s="34"/>
      <c r="IK139" s="34"/>
      <c r="IL139" s="34"/>
      <c r="IM139" s="34"/>
      <c r="IN139" s="34"/>
      <c r="IO139" s="34"/>
      <c r="IP139" s="30"/>
      <c r="IQ139" s="30"/>
      <c r="IR139" s="30"/>
      <c r="IS139" s="30"/>
      <c r="IT139" s="30"/>
      <c r="IU139" s="30"/>
      <c r="IV139" s="30"/>
      <c r="IW139" s="30"/>
      <c r="IX139" s="34"/>
      <c r="IY139" s="34"/>
      <c r="IZ139" s="34"/>
      <c r="JA139" s="34"/>
      <c r="JB139" s="34"/>
      <c r="JC139" s="34"/>
      <c r="JD139" s="30"/>
      <c r="JE139" s="30"/>
      <c r="JF139" s="30"/>
      <c r="JG139" s="30"/>
      <c r="JH139" s="30"/>
      <c r="JI139" s="30"/>
      <c r="JJ139" s="30"/>
      <c r="JK139" s="30"/>
      <c r="JL139" s="34"/>
      <c r="JM139" s="34"/>
      <c r="JN139" s="34"/>
      <c r="JO139" s="34"/>
      <c r="JP139" s="34"/>
      <c r="JQ139" s="34"/>
      <c r="JR139" s="30"/>
      <c r="JS139" s="30"/>
      <c r="JT139" s="30"/>
      <c r="JU139" s="30"/>
      <c r="JV139" s="30"/>
      <c r="JW139" s="30"/>
      <c r="JX139" s="30"/>
      <c r="JY139" s="30"/>
      <c r="JZ139" s="34"/>
      <c r="KA139" s="34"/>
      <c r="KB139" s="34"/>
      <c r="KC139" s="34"/>
      <c r="KD139" s="34"/>
      <c r="KE139" s="34"/>
      <c r="KF139" s="30"/>
      <c r="KG139" s="30"/>
      <c r="KH139" s="30"/>
      <c r="KI139" s="30"/>
      <c r="KJ139" s="30"/>
      <c r="KK139" s="30"/>
      <c r="KL139" s="30"/>
      <c r="KM139" s="30"/>
      <c r="KN139" s="34"/>
      <c r="KO139" s="34"/>
      <c r="KP139" s="34"/>
      <c r="KQ139" s="34"/>
      <c r="KR139" s="34"/>
      <c r="KS139" s="34"/>
      <c r="KT139" s="30"/>
      <c r="KU139" s="30"/>
      <c r="KV139" s="30"/>
      <c r="KW139" s="30"/>
      <c r="KX139" s="30"/>
      <c r="KY139" s="30"/>
      <c r="KZ139" s="30"/>
      <c r="LA139" s="30"/>
      <c r="LB139" s="34"/>
      <c r="LC139" s="34"/>
      <c r="LD139" s="34"/>
      <c r="LE139" s="34"/>
      <c r="LF139" s="34"/>
      <c r="LG139" s="34"/>
      <c r="LH139" s="30"/>
      <c r="LI139" s="30"/>
      <c r="LJ139" s="30"/>
      <c r="LK139" s="30"/>
      <c r="LL139" s="30"/>
      <c r="LM139" s="30"/>
      <c r="LN139" s="30"/>
      <c r="LO139" s="30"/>
      <c r="LP139" s="34"/>
      <c r="LQ139" s="34"/>
      <c r="LR139" s="34"/>
      <c r="LS139" s="34"/>
      <c r="LT139" s="34"/>
      <c r="LU139" s="34"/>
      <c r="LV139" s="30"/>
      <c r="LW139" s="30"/>
      <c r="LX139" s="30"/>
      <c r="LY139" s="30"/>
      <c r="LZ139" s="30"/>
      <c r="MA139" s="30"/>
      <c r="MB139" s="30"/>
      <c r="MC139" s="30"/>
      <c r="MD139" s="34"/>
      <c r="ME139" s="34"/>
      <c r="MF139" s="34"/>
      <c r="MG139" s="34"/>
      <c r="MH139" s="34"/>
      <c r="MI139" s="34"/>
      <c r="MJ139" s="30"/>
      <c r="MK139" s="30"/>
      <c r="ML139" s="30"/>
      <c r="MM139" s="30"/>
      <c r="MN139" s="30"/>
      <c r="MO139" s="30"/>
      <c r="MP139" s="30"/>
      <c r="MQ139" s="30"/>
      <c r="MR139" s="34"/>
      <c r="MS139" s="34"/>
      <c r="MT139" s="34"/>
      <c r="MU139" s="34"/>
      <c r="MV139" s="34"/>
      <c r="MW139" s="34"/>
      <c r="MX139" s="30"/>
      <c r="MY139" s="30"/>
      <c r="MZ139" s="30"/>
      <c r="NA139" s="30"/>
      <c r="NB139" s="30"/>
      <c r="NC139" s="30"/>
      <c r="ND139" s="30"/>
      <c r="NE139" s="30"/>
      <c r="NF139" s="34"/>
      <c r="NG139" s="34"/>
      <c r="NH139" s="34"/>
      <c r="NI139" s="34"/>
      <c r="NJ139" s="34"/>
      <c r="NK139" s="34"/>
      <c r="NL139" s="30"/>
      <c r="NM139" s="30"/>
      <c r="NN139" s="30"/>
      <c r="NO139" s="30"/>
      <c r="NP139" s="30"/>
      <c r="NQ139" s="30"/>
      <c r="NR139" s="30"/>
      <c r="NS139" s="30"/>
      <c r="NT139" s="34"/>
      <c r="NU139" s="34"/>
      <c r="NV139" s="34"/>
      <c r="NW139" s="34"/>
      <c r="NX139" s="34"/>
      <c r="NY139" s="34"/>
      <c r="NZ139" s="30"/>
      <c r="OA139" s="30"/>
      <c r="OB139" s="30"/>
      <c r="OC139" s="30"/>
      <c r="OD139" s="30"/>
      <c r="OE139" s="30"/>
      <c r="OF139" s="30"/>
      <c r="OG139" s="30"/>
      <c r="OH139" s="34"/>
      <c r="OI139" s="34"/>
      <c r="OJ139" s="34"/>
      <c r="OK139" s="34"/>
      <c r="OL139" s="34"/>
      <c r="OM139" s="34"/>
      <c r="ON139" s="30"/>
      <c r="OO139" s="30"/>
      <c r="OP139" s="30"/>
      <c r="OQ139" s="30"/>
      <c r="OR139" s="30"/>
      <c r="OS139" s="30"/>
      <c r="OT139" s="30"/>
      <c r="OU139" s="30"/>
      <c r="OV139" s="34"/>
      <c r="OW139" s="34"/>
      <c r="OX139" s="34"/>
      <c r="OY139" s="34"/>
      <c r="OZ139" s="34"/>
      <c r="PA139" s="34"/>
      <c r="PB139" s="30"/>
      <c r="PC139" s="30"/>
      <c r="PD139" s="30"/>
      <c r="PE139" s="30"/>
      <c r="PF139" s="30"/>
      <c r="PG139" s="30"/>
      <c r="PH139" s="30"/>
      <c r="PI139" s="30"/>
      <c r="PJ139" s="34"/>
      <c r="PK139" s="34"/>
      <c r="PL139" s="34"/>
      <c r="PM139" s="34"/>
      <c r="PN139" s="34"/>
      <c r="PO139" s="34"/>
      <c r="PP139" s="30"/>
      <c r="PQ139" s="30"/>
      <c r="PR139" s="30"/>
      <c r="PS139" s="30"/>
      <c r="PT139" s="30"/>
      <c r="PU139" s="30"/>
      <c r="PV139" s="30"/>
      <c r="PW139" s="30"/>
      <c r="PX139" s="34"/>
      <c r="PY139" s="34"/>
      <c r="PZ139" s="34"/>
      <c r="QA139" s="34"/>
      <c r="QB139" s="34"/>
      <c r="QC139" s="34"/>
      <c r="QD139" s="30"/>
      <c r="QE139" s="30"/>
      <c r="QF139" s="30"/>
      <c r="QG139" s="30"/>
      <c r="QH139" s="30"/>
      <c r="QI139" s="30"/>
      <c r="QJ139" s="30"/>
      <c r="QK139" s="30"/>
      <c r="QL139" s="34"/>
      <c r="QM139" s="34"/>
      <c r="QN139" s="34"/>
      <c r="QO139" s="34"/>
      <c r="QP139" s="34"/>
      <c r="QQ139" s="34"/>
      <c r="QR139" s="30"/>
      <c r="QS139" s="30"/>
      <c r="QT139" s="30"/>
      <c r="QU139" s="30"/>
      <c r="QV139" s="30"/>
      <c r="QW139" s="30"/>
      <c r="QX139" s="30"/>
      <c r="QY139" s="30"/>
      <c r="QZ139" s="34"/>
      <c r="RA139" s="34"/>
      <c r="RB139" s="34"/>
      <c r="RC139" s="34"/>
      <c r="RD139" s="34"/>
      <c r="RE139" s="34"/>
      <c r="RF139" s="30"/>
      <c r="RG139" s="30"/>
      <c r="RH139" s="30"/>
      <c r="RI139" s="30"/>
      <c r="RJ139" s="30"/>
      <c r="RK139" s="30"/>
      <c r="RL139" s="30"/>
      <c r="RM139" s="30"/>
      <c r="RN139" s="34"/>
      <c r="RO139" s="34"/>
      <c r="RP139" s="34"/>
      <c r="RQ139" s="34"/>
      <c r="RR139" s="34"/>
      <c r="RS139" s="34"/>
      <c r="RT139" s="30"/>
      <c r="RU139" s="30"/>
      <c r="RV139" s="30"/>
      <c r="RW139" s="30"/>
      <c r="RX139" s="30"/>
      <c r="RY139" s="30"/>
      <c r="RZ139" s="30"/>
    </row>
    <row r="140" spans="1:494" ht="98.25" customHeight="1" x14ac:dyDescent="0.3">
      <c r="A140" s="53"/>
      <c r="B140" s="40"/>
      <c r="C140" s="41"/>
      <c r="D140" s="30"/>
      <c r="E140" s="30"/>
      <c r="F140" s="30"/>
      <c r="G140" s="30"/>
      <c r="H140" s="30"/>
      <c r="I140" s="30"/>
      <c r="J140" s="30"/>
      <c r="K140" s="26"/>
      <c r="L140" s="30"/>
      <c r="M140" s="30"/>
      <c r="N140" s="30"/>
      <c r="O140" s="30"/>
      <c r="P140" s="30"/>
      <c r="Q140" s="30"/>
      <c r="R140" s="30"/>
      <c r="S140" s="30"/>
      <c r="T140" s="34"/>
      <c r="U140" s="34"/>
      <c r="V140" s="34"/>
      <c r="W140" s="34"/>
      <c r="X140" s="34"/>
      <c r="Y140" s="34"/>
      <c r="Z140" s="30"/>
      <c r="AA140" s="30"/>
      <c r="AB140" s="30"/>
      <c r="AC140" s="30"/>
      <c r="AD140" s="30"/>
      <c r="AE140" s="30"/>
      <c r="AF140" s="30"/>
      <c r="AG140" s="30"/>
      <c r="AH140" s="34"/>
      <c r="AI140" s="34"/>
      <c r="AJ140" s="34"/>
      <c r="AK140" s="34"/>
      <c r="AL140" s="34"/>
      <c r="AM140" s="34"/>
      <c r="AN140" s="30"/>
      <c r="AO140" s="30"/>
      <c r="AP140" s="30"/>
      <c r="AQ140" s="30"/>
      <c r="AR140" s="30"/>
      <c r="AS140" s="30"/>
      <c r="AT140" s="30"/>
      <c r="AU140" s="30"/>
      <c r="AV140" s="34"/>
      <c r="AW140" s="34"/>
      <c r="AX140" s="34"/>
      <c r="AY140" s="34"/>
      <c r="AZ140" s="34"/>
      <c r="BA140" s="34"/>
      <c r="BB140" s="30"/>
      <c r="BC140" s="30"/>
      <c r="BD140" s="30"/>
      <c r="BE140" s="30"/>
      <c r="BF140" s="30"/>
      <c r="BG140" s="30"/>
      <c r="BH140" s="30"/>
      <c r="BI140" s="30"/>
      <c r="BJ140" s="34"/>
      <c r="BK140" s="34"/>
      <c r="BL140" s="34"/>
      <c r="BM140" s="34"/>
      <c r="BN140" s="34"/>
      <c r="BO140" s="34"/>
      <c r="BP140" s="30"/>
      <c r="BQ140" s="30"/>
      <c r="BR140" s="30"/>
      <c r="BS140" s="30"/>
      <c r="BT140" s="30"/>
      <c r="BU140" s="30"/>
      <c r="BV140" s="30"/>
      <c r="BW140" s="30"/>
      <c r="BX140" s="34"/>
      <c r="BY140" s="34"/>
      <c r="BZ140" s="34"/>
      <c r="CA140" s="34"/>
      <c r="CB140" s="34"/>
      <c r="CC140" s="34"/>
      <c r="CD140" s="30"/>
      <c r="CE140" s="30"/>
      <c r="CF140" s="30"/>
      <c r="CG140" s="30"/>
      <c r="CH140" s="30"/>
      <c r="CI140" s="30"/>
      <c r="CJ140" s="30"/>
      <c r="CK140" s="30"/>
      <c r="CL140" s="34"/>
      <c r="CM140" s="34"/>
      <c r="CN140" s="34"/>
      <c r="CO140" s="34"/>
      <c r="CP140" s="34"/>
      <c r="CQ140" s="34"/>
      <c r="CR140" s="30"/>
      <c r="CS140" s="30"/>
      <c r="CT140" s="30"/>
      <c r="CU140" s="30"/>
      <c r="CV140" s="30"/>
      <c r="CW140" s="30"/>
      <c r="CX140" s="30"/>
      <c r="CY140" s="30"/>
      <c r="CZ140" s="34"/>
      <c r="DA140" s="34"/>
      <c r="DB140" s="34"/>
      <c r="DC140" s="34"/>
      <c r="DD140" s="34"/>
      <c r="DE140" s="34"/>
      <c r="DF140" s="30"/>
      <c r="DG140" s="30"/>
      <c r="DH140" s="30"/>
      <c r="DI140" s="30"/>
      <c r="DJ140" s="30"/>
      <c r="DK140" s="30"/>
      <c r="DL140" s="30"/>
      <c r="DM140" s="30"/>
      <c r="DN140" s="34"/>
      <c r="DO140" s="34"/>
      <c r="DP140" s="34"/>
      <c r="DQ140" s="34"/>
      <c r="DR140" s="34"/>
      <c r="DS140" s="34"/>
      <c r="DT140" s="30"/>
      <c r="DU140" s="30"/>
      <c r="DV140" s="30"/>
      <c r="DW140" s="30"/>
      <c r="DX140" s="30"/>
      <c r="DY140" s="30"/>
      <c r="DZ140" s="30"/>
      <c r="EA140" s="30"/>
      <c r="EB140" s="34"/>
      <c r="EC140" s="34"/>
      <c r="ED140" s="34"/>
      <c r="EE140" s="34"/>
      <c r="EF140" s="34"/>
      <c r="EG140" s="34"/>
      <c r="EH140" s="30"/>
      <c r="EI140" s="30"/>
      <c r="EJ140" s="30"/>
      <c r="EK140" s="30"/>
      <c r="EL140" s="30"/>
      <c r="EM140" s="30"/>
      <c r="EN140" s="30"/>
      <c r="EO140" s="30"/>
      <c r="EP140" s="34"/>
      <c r="EQ140" s="34"/>
      <c r="ER140" s="34"/>
      <c r="ES140" s="34"/>
      <c r="ET140" s="34"/>
      <c r="EU140" s="34"/>
      <c r="EV140" s="30"/>
      <c r="EW140" s="30"/>
      <c r="EX140" s="30"/>
      <c r="EY140" s="30"/>
      <c r="EZ140" s="30"/>
      <c r="FA140" s="30"/>
      <c r="FB140" s="30"/>
      <c r="FC140" s="30"/>
      <c r="FD140" s="34"/>
      <c r="FE140" s="34"/>
      <c r="FF140" s="34"/>
      <c r="FG140" s="34"/>
      <c r="FH140" s="34"/>
      <c r="FI140" s="34"/>
      <c r="FJ140" s="30"/>
      <c r="FK140" s="30"/>
      <c r="FL140" s="30"/>
      <c r="FM140" s="30"/>
      <c r="FN140" s="30"/>
      <c r="FO140" s="30"/>
      <c r="FP140" s="30"/>
      <c r="FQ140" s="30"/>
      <c r="FR140" s="34"/>
      <c r="FS140" s="34"/>
      <c r="FT140" s="34"/>
      <c r="FU140" s="34"/>
      <c r="FV140" s="34"/>
      <c r="FW140" s="34"/>
      <c r="FX140" s="30"/>
      <c r="FY140" s="30"/>
      <c r="FZ140" s="30"/>
      <c r="GA140" s="30"/>
      <c r="GB140" s="30"/>
      <c r="GC140" s="30"/>
      <c r="GD140" s="30"/>
      <c r="GE140" s="30"/>
      <c r="GF140" s="34"/>
      <c r="GG140" s="34"/>
      <c r="GH140" s="34"/>
      <c r="GI140" s="34"/>
      <c r="GJ140" s="34"/>
      <c r="GK140" s="34"/>
      <c r="GL140" s="30"/>
      <c r="GM140" s="30"/>
      <c r="GN140" s="30"/>
      <c r="GO140" s="30"/>
      <c r="GP140" s="30"/>
      <c r="GQ140" s="30"/>
      <c r="GR140" s="30"/>
      <c r="GS140" s="30"/>
      <c r="GT140" s="34"/>
      <c r="GU140" s="34"/>
      <c r="GV140" s="34"/>
      <c r="GW140" s="34"/>
      <c r="GX140" s="34"/>
      <c r="GY140" s="34"/>
      <c r="GZ140" s="30"/>
      <c r="HA140" s="30"/>
      <c r="HB140" s="30"/>
      <c r="HC140" s="30"/>
      <c r="HD140" s="30"/>
      <c r="HE140" s="30"/>
      <c r="HF140" s="30"/>
      <c r="HG140" s="30"/>
      <c r="HH140" s="34"/>
      <c r="HI140" s="34"/>
      <c r="HJ140" s="34"/>
      <c r="HK140" s="34"/>
      <c r="HL140" s="34"/>
      <c r="HM140" s="34"/>
      <c r="HN140" s="30"/>
      <c r="HO140" s="30"/>
      <c r="HP140" s="30"/>
      <c r="HQ140" s="30"/>
      <c r="HR140" s="30"/>
      <c r="HS140" s="30"/>
      <c r="HT140" s="30"/>
      <c r="HU140" s="30"/>
      <c r="HV140" s="34"/>
      <c r="HW140" s="34"/>
      <c r="HX140" s="34"/>
      <c r="HY140" s="34"/>
      <c r="HZ140" s="34"/>
      <c r="IA140" s="34"/>
      <c r="IB140" s="30"/>
      <c r="IC140" s="30"/>
      <c r="ID140" s="30"/>
      <c r="IE140" s="30"/>
      <c r="IF140" s="30"/>
      <c r="IG140" s="30"/>
      <c r="IH140" s="30"/>
      <c r="II140" s="30"/>
      <c r="IJ140" s="34"/>
      <c r="IK140" s="34"/>
      <c r="IL140" s="34"/>
      <c r="IM140" s="34"/>
      <c r="IN140" s="34"/>
      <c r="IO140" s="34"/>
      <c r="IP140" s="30"/>
      <c r="IQ140" s="30"/>
      <c r="IR140" s="30"/>
      <c r="IS140" s="30"/>
      <c r="IT140" s="30"/>
      <c r="IU140" s="30"/>
      <c r="IV140" s="30"/>
      <c r="IW140" s="30"/>
      <c r="IX140" s="34"/>
      <c r="IY140" s="34"/>
      <c r="IZ140" s="34"/>
      <c r="JA140" s="34"/>
      <c r="JB140" s="34"/>
      <c r="JC140" s="34"/>
      <c r="JD140" s="30"/>
      <c r="JE140" s="30"/>
      <c r="JF140" s="30"/>
      <c r="JG140" s="30"/>
      <c r="JH140" s="30"/>
      <c r="JI140" s="30"/>
      <c r="JJ140" s="30"/>
      <c r="JK140" s="30"/>
      <c r="JL140" s="34"/>
      <c r="JM140" s="34"/>
      <c r="JN140" s="34"/>
      <c r="JO140" s="34"/>
      <c r="JP140" s="34"/>
      <c r="JQ140" s="34"/>
      <c r="JR140" s="30"/>
      <c r="JS140" s="30"/>
      <c r="JT140" s="30"/>
      <c r="JU140" s="30"/>
      <c r="JV140" s="30"/>
      <c r="JW140" s="30"/>
      <c r="JX140" s="30"/>
      <c r="JY140" s="30"/>
      <c r="JZ140" s="34"/>
      <c r="KA140" s="34"/>
      <c r="KB140" s="34"/>
      <c r="KC140" s="34"/>
      <c r="KD140" s="34"/>
      <c r="KE140" s="34"/>
      <c r="KF140" s="30"/>
      <c r="KG140" s="30"/>
      <c r="KH140" s="30"/>
      <c r="KI140" s="30"/>
      <c r="KJ140" s="30"/>
      <c r="KK140" s="30"/>
      <c r="KL140" s="30"/>
      <c r="KM140" s="30"/>
      <c r="KN140" s="34"/>
      <c r="KO140" s="34"/>
      <c r="KP140" s="34"/>
      <c r="KQ140" s="34"/>
      <c r="KR140" s="34"/>
      <c r="KS140" s="34"/>
      <c r="KT140" s="30"/>
      <c r="KU140" s="30"/>
      <c r="KV140" s="30"/>
      <c r="KW140" s="30"/>
      <c r="KX140" s="30"/>
      <c r="KY140" s="30"/>
      <c r="KZ140" s="30"/>
      <c r="LA140" s="30"/>
      <c r="LB140" s="34"/>
      <c r="LC140" s="34"/>
      <c r="LD140" s="34"/>
      <c r="LE140" s="34"/>
      <c r="LF140" s="34"/>
      <c r="LG140" s="34"/>
      <c r="LH140" s="30"/>
      <c r="LI140" s="30"/>
      <c r="LJ140" s="30"/>
      <c r="LK140" s="30"/>
      <c r="LL140" s="30"/>
      <c r="LM140" s="30"/>
      <c r="LN140" s="30"/>
      <c r="LO140" s="30"/>
      <c r="LP140" s="34"/>
      <c r="LQ140" s="34"/>
      <c r="LR140" s="34"/>
      <c r="LS140" s="34"/>
      <c r="LT140" s="34"/>
      <c r="LU140" s="34"/>
      <c r="LV140" s="30"/>
      <c r="LW140" s="30"/>
      <c r="LX140" s="30"/>
      <c r="LY140" s="30"/>
      <c r="LZ140" s="30"/>
      <c r="MA140" s="30"/>
      <c r="MB140" s="30"/>
      <c r="MC140" s="30"/>
      <c r="MD140" s="34"/>
      <c r="ME140" s="34"/>
      <c r="MF140" s="34"/>
      <c r="MG140" s="34"/>
      <c r="MH140" s="34"/>
      <c r="MI140" s="34"/>
      <c r="MJ140" s="30"/>
      <c r="MK140" s="30"/>
      <c r="ML140" s="30"/>
      <c r="MM140" s="30"/>
      <c r="MN140" s="30"/>
      <c r="MO140" s="30"/>
      <c r="MP140" s="30"/>
      <c r="MQ140" s="30"/>
      <c r="MR140" s="34"/>
      <c r="MS140" s="34"/>
      <c r="MT140" s="34"/>
      <c r="MU140" s="34"/>
      <c r="MV140" s="34"/>
      <c r="MW140" s="34"/>
      <c r="MX140" s="30"/>
      <c r="MY140" s="30"/>
      <c r="MZ140" s="30"/>
      <c r="NA140" s="30"/>
      <c r="NB140" s="30"/>
      <c r="NC140" s="30"/>
      <c r="ND140" s="30"/>
      <c r="NE140" s="30"/>
      <c r="NF140" s="34"/>
      <c r="NG140" s="34"/>
      <c r="NH140" s="34"/>
      <c r="NI140" s="34"/>
      <c r="NJ140" s="34"/>
      <c r="NK140" s="34"/>
      <c r="NL140" s="30"/>
      <c r="NM140" s="30"/>
      <c r="NN140" s="30"/>
      <c r="NO140" s="30"/>
      <c r="NP140" s="30"/>
      <c r="NQ140" s="30"/>
      <c r="NR140" s="30"/>
      <c r="NS140" s="30"/>
      <c r="NT140" s="34"/>
      <c r="NU140" s="34"/>
      <c r="NV140" s="34"/>
      <c r="NW140" s="34"/>
      <c r="NX140" s="34"/>
      <c r="NY140" s="34"/>
      <c r="NZ140" s="30"/>
      <c r="OA140" s="30"/>
      <c r="OB140" s="30"/>
      <c r="OC140" s="30"/>
      <c r="OD140" s="30"/>
      <c r="OE140" s="30"/>
      <c r="OF140" s="30"/>
      <c r="OG140" s="30"/>
      <c r="OH140" s="34"/>
      <c r="OI140" s="34"/>
      <c r="OJ140" s="34"/>
      <c r="OK140" s="34"/>
      <c r="OL140" s="34"/>
      <c r="OM140" s="34"/>
      <c r="ON140" s="30"/>
      <c r="OO140" s="30"/>
      <c r="OP140" s="30"/>
      <c r="OQ140" s="30"/>
      <c r="OR140" s="30"/>
      <c r="OS140" s="30"/>
      <c r="OT140" s="30"/>
      <c r="OU140" s="30"/>
      <c r="OV140" s="34"/>
      <c r="OW140" s="34"/>
      <c r="OX140" s="34"/>
      <c r="OY140" s="34"/>
      <c r="OZ140" s="34"/>
      <c r="PA140" s="34"/>
      <c r="PB140" s="30"/>
      <c r="PC140" s="30"/>
      <c r="PD140" s="30"/>
      <c r="PE140" s="30"/>
      <c r="PF140" s="30"/>
      <c r="PG140" s="30"/>
      <c r="PH140" s="30"/>
      <c r="PI140" s="30"/>
      <c r="PJ140" s="34"/>
      <c r="PK140" s="34"/>
      <c r="PL140" s="34"/>
      <c r="PM140" s="34"/>
      <c r="PN140" s="34"/>
      <c r="PO140" s="34"/>
      <c r="PP140" s="30"/>
      <c r="PQ140" s="30"/>
      <c r="PR140" s="30"/>
      <c r="PS140" s="30"/>
      <c r="PT140" s="30"/>
      <c r="PU140" s="30"/>
      <c r="PV140" s="30"/>
      <c r="PW140" s="30"/>
      <c r="PX140" s="34"/>
      <c r="PY140" s="34"/>
      <c r="PZ140" s="34"/>
      <c r="QA140" s="34"/>
      <c r="QB140" s="34"/>
      <c r="QC140" s="34"/>
      <c r="QD140" s="30"/>
      <c r="QE140" s="30"/>
      <c r="QF140" s="30"/>
      <c r="QG140" s="30"/>
      <c r="QH140" s="30"/>
      <c r="QI140" s="30"/>
      <c r="QJ140" s="30"/>
      <c r="QK140" s="30"/>
      <c r="QL140" s="34"/>
      <c r="QM140" s="34"/>
      <c r="QN140" s="34"/>
      <c r="QO140" s="34"/>
      <c r="QP140" s="34"/>
      <c r="QQ140" s="34"/>
      <c r="QR140" s="30"/>
      <c r="QS140" s="30"/>
      <c r="QT140" s="30"/>
      <c r="QU140" s="30"/>
      <c r="QV140" s="30"/>
      <c r="QW140" s="30"/>
      <c r="QX140" s="30"/>
      <c r="QY140" s="30"/>
      <c r="QZ140" s="34"/>
      <c r="RA140" s="34"/>
      <c r="RB140" s="34"/>
      <c r="RC140" s="34"/>
      <c r="RD140" s="34"/>
      <c r="RE140" s="34"/>
      <c r="RF140" s="30"/>
      <c r="RG140" s="30"/>
      <c r="RH140" s="30"/>
      <c r="RI140" s="30"/>
      <c r="RJ140" s="30"/>
      <c r="RK140" s="30"/>
      <c r="RL140" s="30"/>
      <c r="RM140" s="30"/>
      <c r="RN140" s="34"/>
      <c r="RO140" s="34"/>
      <c r="RP140" s="34"/>
      <c r="RQ140" s="34"/>
      <c r="RR140" s="34"/>
      <c r="RS140" s="34"/>
      <c r="RT140" s="30"/>
      <c r="RU140" s="30"/>
      <c r="RV140" s="30"/>
      <c r="RW140" s="30"/>
      <c r="RX140" s="30"/>
      <c r="RY140" s="30"/>
      <c r="RZ140" s="30"/>
    </row>
    <row r="141" spans="1:494" ht="105" customHeight="1" x14ac:dyDescent="0.3">
      <c r="A141" s="54"/>
      <c r="B141" s="5"/>
      <c r="C141" s="5"/>
      <c r="D141" s="20"/>
      <c r="E141" s="20"/>
      <c r="F141" s="20"/>
      <c r="G141" s="20"/>
    </row>
    <row r="142" spans="1:494" x14ac:dyDescent="0.3">
      <c r="A142" s="54"/>
      <c r="B142" s="5"/>
      <c r="C142" s="5"/>
      <c r="D142" s="20"/>
      <c r="E142" s="20"/>
      <c r="F142" s="20"/>
      <c r="G142" s="20"/>
    </row>
    <row r="143" spans="1:494" x14ac:dyDescent="0.3">
      <c r="A143" s="54"/>
      <c r="B143" s="5"/>
      <c r="C143" s="5"/>
      <c r="D143" s="20"/>
      <c r="E143" s="20"/>
      <c r="F143" s="20"/>
      <c r="G143" s="20"/>
    </row>
    <row r="144" spans="1:494" x14ac:dyDescent="0.3">
      <c r="A144" s="54"/>
      <c r="B144" s="5"/>
      <c r="C144" s="5"/>
      <c r="D144" s="20"/>
      <c r="E144" s="20"/>
      <c r="F144" s="20"/>
      <c r="G144" s="20"/>
    </row>
    <row r="145" spans="1:7" x14ac:dyDescent="0.3">
      <c r="A145" s="54"/>
      <c r="B145" s="5"/>
      <c r="C145" s="5"/>
      <c r="D145" s="20"/>
      <c r="E145" s="20"/>
      <c r="F145" s="20"/>
      <c r="G145" s="20"/>
    </row>
  </sheetData>
  <mergeCells count="48">
    <mergeCell ref="A134:A136"/>
    <mergeCell ref="H7:K7"/>
    <mergeCell ref="H8:K8"/>
    <mergeCell ref="I9:K9"/>
    <mergeCell ref="A10:K10"/>
    <mergeCell ref="A11:K11"/>
    <mergeCell ref="A128:A131"/>
    <mergeCell ref="B125:B127"/>
    <mergeCell ref="A125:A127"/>
    <mergeCell ref="A98:A100"/>
    <mergeCell ref="A104:A106"/>
    <mergeCell ref="A120:A122"/>
    <mergeCell ref="A101:A103"/>
    <mergeCell ref="B120:B122"/>
    <mergeCell ref="B77:B79"/>
    <mergeCell ref="A63:A65"/>
    <mergeCell ref="A57:A59"/>
    <mergeCell ref="A90:A93"/>
    <mergeCell ref="J4:K4"/>
    <mergeCell ref="J5:K5"/>
    <mergeCell ref="J6:K6"/>
    <mergeCell ref="A25:A27"/>
    <mergeCell ref="B54:B56"/>
    <mergeCell ref="A54:A56"/>
    <mergeCell ref="B63:B65"/>
    <mergeCell ref="A47:A49"/>
    <mergeCell ref="B47:B49"/>
    <mergeCell ref="B57:B58"/>
    <mergeCell ref="A28:A30"/>
    <mergeCell ref="B28:B30"/>
    <mergeCell ref="B16:B18"/>
    <mergeCell ref="B25:B27"/>
    <mergeCell ref="A138:K138"/>
    <mergeCell ref="J14:J15"/>
    <mergeCell ref="F14:F15"/>
    <mergeCell ref="G14:G15"/>
    <mergeCell ref="H14:H15"/>
    <mergeCell ref="A13:A15"/>
    <mergeCell ref="E13:K13"/>
    <mergeCell ref="K14:K15"/>
    <mergeCell ref="C13:C15"/>
    <mergeCell ref="B13:B15"/>
    <mergeCell ref="I14:I15"/>
    <mergeCell ref="E14:E15"/>
    <mergeCell ref="D13:D15"/>
    <mergeCell ref="A16:A18"/>
    <mergeCell ref="A94:A97"/>
    <mergeCell ref="A77:A79"/>
  </mergeCells>
  <pageMargins left="0.78740157480314965" right="0" top="0.74803149606299213" bottom="0.39370078740157483" header="0.31496062992125984" footer="0.31496062992125984"/>
  <pageSetup paperSize="9" scale="43" fitToHeight="19" orientation="landscape" r:id="rId1"/>
  <headerFooter differentFirst="1">
    <oddHeader>&amp;C&amp;P</oddHeader>
  </headerFooter>
  <rowBreaks count="1" manualBreakCount="1">
    <brk id="53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</vt:lpstr>
      <vt:lpstr>'Приложение 1'!Заголовки_для_печати</vt:lpstr>
      <vt:lpstr>'Приложение 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2023-11-08T03:50:55Z</dcterms:modified>
</cp:coreProperties>
</file>