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13_ncr:1_{7B015490-256B-4CB0-B440-69D3E9B7CF18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1'!$A$1:$J$127</definedName>
  </definedNames>
  <calcPr calcId="191029"/>
</workbook>
</file>

<file path=xl/calcChain.xml><?xml version="1.0" encoding="utf-8"?>
<calcChain xmlns="http://schemas.openxmlformats.org/spreadsheetml/2006/main">
  <c r="F71" i="4" l="1"/>
  <c r="G71" i="4"/>
  <c r="H71" i="4"/>
  <c r="I71" i="4"/>
  <c r="J71" i="4"/>
  <c r="E71" i="4"/>
  <c r="F76" i="4"/>
  <c r="G76" i="4"/>
  <c r="H76" i="4"/>
  <c r="I76" i="4"/>
  <c r="J76" i="4"/>
  <c r="E76" i="4"/>
  <c r="D83" i="4"/>
  <c r="H103" i="4"/>
  <c r="H111" i="4"/>
  <c r="I50" i="4" l="1"/>
  <c r="J50" i="4"/>
  <c r="H50" i="4"/>
  <c r="H77" i="4"/>
  <c r="D65" i="4"/>
  <c r="F72" i="4" l="1"/>
  <c r="G72" i="4"/>
  <c r="I72" i="4"/>
  <c r="J72" i="4"/>
  <c r="E72" i="4"/>
  <c r="E19" i="4" s="1"/>
  <c r="D73" i="4"/>
  <c r="D126" i="4"/>
  <c r="D125" i="4"/>
  <c r="H105" i="4" l="1"/>
  <c r="F73" i="4" l="1"/>
  <c r="G73" i="4"/>
  <c r="H73" i="4"/>
  <c r="I73" i="4"/>
  <c r="J73" i="4"/>
  <c r="E73" i="4"/>
  <c r="F122" i="4"/>
  <c r="G122" i="4"/>
  <c r="H122" i="4"/>
  <c r="I122" i="4"/>
  <c r="J122" i="4"/>
  <c r="E122" i="4"/>
  <c r="D124" i="4"/>
  <c r="D123" i="4"/>
  <c r="D122" i="4" l="1"/>
  <c r="G30" i="4" l="1"/>
  <c r="H30" i="4"/>
  <c r="I30" i="4"/>
  <c r="J30" i="4"/>
  <c r="D45" i="4"/>
  <c r="D44" i="4" l="1"/>
  <c r="D64" i="4" l="1"/>
  <c r="D101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6" i="4"/>
  <c r="H66" i="4"/>
  <c r="I66" i="4"/>
  <c r="J66" i="4"/>
  <c r="F67" i="4"/>
  <c r="D67" i="4" s="1"/>
  <c r="E68" i="4"/>
  <c r="F68" i="4"/>
  <c r="D69" i="4"/>
  <c r="E70" i="4"/>
  <c r="F70" i="4"/>
  <c r="F77" i="4"/>
  <c r="D78" i="4"/>
  <c r="D79" i="4"/>
  <c r="D80" i="4"/>
  <c r="D81" i="4"/>
  <c r="F82" i="4"/>
  <c r="D82" i="4" s="1"/>
  <c r="E86" i="4"/>
  <c r="E87" i="4"/>
  <c r="F87" i="4"/>
  <c r="G87" i="4"/>
  <c r="H87" i="4"/>
  <c r="I87" i="4"/>
  <c r="J87" i="4"/>
  <c r="E89" i="4"/>
  <c r="E88" i="4" s="1"/>
  <c r="F89" i="4"/>
  <c r="F90" i="4"/>
  <c r="F86" i="4" s="1"/>
  <c r="G90" i="4"/>
  <c r="G88" i="4" s="1"/>
  <c r="H86" i="4"/>
  <c r="I86" i="4"/>
  <c r="J86" i="4"/>
  <c r="D91" i="4"/>
  <c r="E93" i="4"/>
  <c r="E92" i="4" s="1"/>
  <c r="F93" i="4"/>
  <c r="F92" i="4" s="1"/>
  <c r="G93" i="4"/>
  <c r="I93" i="4"/>
  <c r="J93" i="4"/>
  <c r="D94" i="4"/>
  <c r="F95" i="4"/>
  <c r="G95" i="4"/>
  <c r="H95" i="4"/>
  <c r="I95" i="4"/>
  <c r="J95" i="4"/>
  <c r="E96" i="4"/>
  <c r="D96" i="4" s="1"/>
  <c r="D97" i="4"/>
  <c r="E98" i="4"/>
  <c r="F98" i="4"/>
  <c r="G98" i="4"/>
  <c r="H98" i="4"/>
  <c r="I98" i="4"/>
  <c r="J98" i="4"/>
  <c r="D99" i="4"/>
  <c r="D100" i="4"/>
  <c r="G102" i="4"/>
  <c r="F103" i="4"/>
  <c r="H102" i="4"/>
  <c r="J102" i="4"/>
  <c r="F104" i="4"/>
  <c r="D104" i="4" s="1"/>
  <c r="E105" i="4"/>
  <c r="E102" i="4" s="1"/>
  <c r="F105" i="4"/>
  <c r="D106" i="4"/>
  <c r="E107" i="4"/>
  <c r="F107" i="4"/>
  <c r="F108" i="4"/>
  <c r="D108" i="4" s="1"/>
  <c r="F109" i="4"/>
  <c r="D109" i="4" s="1"/>
  <c r="F110" i="4"/>
  <c r="D110" i="4" s="1"/>
  <c r="D111" i="4"/>
  <c r="F112" i="4"/>
  <c r="D112" i="4" s="1"/>
  <c r="D113" i="4"/>
  <c r="F113" i="4"/>
  <c r="E114" i="4"/>
  <c r="F114" i="4"/>
  <c r="G114" i="4"/>
  <c r="H114" i="4"/>
  <c r="I114" i="4"/>
  <c r="J114" i="4"/>
  <c r="D115" i="4"/>
  <c r="D116" i="4"/>
  <c r="D117" i="4"/>
  <c r="D118" i="4"/>
  <c r="E119" i="4"/>
  <c r="G119" i="4"/>
  <c r="H119" i="4"/>
  <c r="I119" i="4"/>
  <c r="J119" i="4"/>
  <c r="F120" i="4"/>
  <c r="F119" i="4" s="1"/>
  <c r="D121" i="4"/>
  <c r="H49" i="4" l="1"/>
  <c r="E46" i="4"/>
  <c r="D48" i="4"/>
  <c r="D40" i="4"/>
  <c r="E95" i="4"/>
  <c r="D70" i="4"/>
  <c r="D53" i="4"/>
  <c r="D31" i="4"/>
  <c r="F30" i="4"/>
  <c r="E30" i="4"/>
  <c r="I49" i="4"/>
  <c r="D103" i="4"/>
  <c r="G92" i="4"/>
  <c r="G85" i="4"/>
  <c r="D56" i="4"/>
  <c r="D22" i="4"/>
  <c r="H85" i="4"/>
  <c r="H84" i="4" s="1"/>
  <c r="D71" i="4" s="1"/>
  <c r="J92" i="4"/>
  <c r="J85" i="4"/>
  <c r="J84" i="4" s="1"/>
  <c r="F88" i="4"/>
  <c r="F85" i="4"/>
  <c r="F84" i="4" s="1"/>
  <c r="D68" i="4"/>
  <c r="E50" i="4"/>
  <c r="D107" i="4"/>
  <c r="I92" i="4"/>
  <c r="I85" i="4"/>
  <c r="E85" i="4"/>
  <c r="J49" i="4"/>
  <c r="F52" i="4"/>
  <c r="G20" i="4"/>
  <c r="D105" i="4"/>
  <c r="F102" i="4"/>
  <c r="D95" i="4"/>
  <c r="H92" i="4"/>
  <c r="D89" i="4"/>
  <c r="F66" i="4"/>
  <c r="J20" i="4"/>
  <c r="F20" i="4"/>
  <c r="D119" i="4"/>
  <c r="D114" i="4"/>
  <c r="J88" i="4"/>
  <c r="D20" i="4"/>
  <c r="E66" i="4"/>
  <c r="I20" i="4"/>
  <c r="E51" i="4"/>
  <c r="E29" i="4" s="1"/>
  <c r="E20" i="4" s="1"/>
  <c r="D34" i="4"/>
  <c r="D120" i="4"/>
  <c r="D98" i="4"/>
  <c r="I88" i="4"/>
  <c r="D87" i="4"/>
  <c r="G86" i="4"/>
  <c r="D86" i="4" s="1"/>
  <c r="E58" i="4"/>
  <c r="D58" i="4" s="1"/>
  <c r="G49" i="4"/>
  <c r="H20" i="4"/>
  <c r="D35" i="4"/>
  <c r="D52" i="4"/>
  <c r="D21" i="4"/>
  <c r="D46" i="4"/>
  <c r="G28" i="4"/>
  <c r="G27" i="4" s="1"/>
  <c r="I102" i="4"/>
  <c r="D93" i="4"/>
  <c r="H88" i="4"/>
  <c r="I84" i="4"/>
  <c r="D77" i="4"/>
  <c r="D76" i="4" s="1"/>
  <c r="D47" i="4"/>
  <c r="D32" i="4"/>
  <c r="D24" i="4"/>
  <c r="D90" i="4"/>
  <c r="H72" i="4" l="1"/>
  <c r="D72" i="4" s="1"/>
  <c r="D102" i="4"/>
  <c r="H28" i="4"/>
  <c r="H27" i="4" s="1"/>
  <c r="J28" i="4"/>
  <c r="J27" i="4" s="1"/>
  <c r="I28" i="4"/>
  <c r="I27" i="4" s="1"/>
  <c r="J19" i="4"/>
  <c r="J18" i="4" s="1"/>
  <c r="D88" i="4"/>
  <c r="D50" i="4"/>
  <c r="G84" i="4"/>
  <c r="D92" i="4"/>
  <c r="F50" i="4"/>
  <c r="F49" i="4" s="1"/>
  <c r="E49" i="4"/>
  <c r="D66" i="4"/>
  <c r="D30" i="4"/>
  <c r="D85" i="4"/>
  <c r="E84" i="4"/>
  <c r="E28" i="4"/>
  <c r="H19" i="4" l="1"/>
  <c r="H18" i="4" s="1"/>
  <c r="I19" i="4"/>
  <c r="I18" i="4" s="1"/>
  <c r="F28" i="4"/>
  <c r="F27" i="4" s="1"/>
  <c r="G19" i="4"/>
  <c r="G18" i="4" s="1"/>
  <c r="D49" i="4"/>
  <c r="F19" i="4"/>
  <c r="F18" i="4" s="1"/>
  <c r="D28" i="4"/>
  <c r="D27" i="4" s="1"/>
  <c r="E27" i="4"/>
  <c r="D84" i="4"/>
  <c r="D19" i="4" l="1"/>
  <c r="D18" i="4" s="1"/>
  <c r="E18" i="4"/>
</calcChain>
</file>

<file path=xl/sharedStrings.xml><?xml version="1.0" encoding="utf-8"?>
<sst xmlns="http://schemas.openxmlformats.org/spreadsheetml/2006/main" count="361" uniqueCount="132">
  <si>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</si>
  <si>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</si>
  <si>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</si>
  <si>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</si>
  <si>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</si>
  <si>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</si>
  <si>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</si>
  <si>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</si>
  <si>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</si>
  <si>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</si>
  <si>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</si>
  <si>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</si>
  <si>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</si>
  <si>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</si>
  <si>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</si>
  <si>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</si>
  <si>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</si>
  <si>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</si>
  <si>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</si>
  <si>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</si>
  <si>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</si>
  <si>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</si>
  <si>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</si>
  <si>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</si>
  <si>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</si>
  <si>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</si>
  <si>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</si>
  <si>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</si>
  <si>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</si>
  <si>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</si>
  <si>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</si>
  <si>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</si>
  <si>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</si>
  <si>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</si>
  <si>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</si>
  <si>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</si>
  <si>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</si>
  <si>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</si>
  <si>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</si>
  <si>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</si>
  <si>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</si>
  <si>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</si>
  <si>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</si>
  <si>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</si>
  <si>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</si>
  <si>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</si>
  <si>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</si>
  <si>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</si>
  <si>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</si>
  <si>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</si>
  <si>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</si>
  <si>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</si>
  <si>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</si>
  <si>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</si>
  <si>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</si>
  <si>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</si>
  <si>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</si>
  <si>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</si>
  <si>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</si>
  <si>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</si>
  <si>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</si>
  <si>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</si>
  <si>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</si>
  <si>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</si>
  <si>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</si>
  <si>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</si>
  <si>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</si>
  <si>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</si>
  <si>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</si>
  <si>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</si>
  <si>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</si>
  <si>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</si>
  <si>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</si>
  <si>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</si>
  <si>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</si>
  <si>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</si>
  <si>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</si>
  <si>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</si>
  <si>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</si>
  <si>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</si>
  <si>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</si>
  <si>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</si>
  <si>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</si>
  <si>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</si>
  <si>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</si>
  <si>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</si>
  <si>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</si>
  <si>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</si>
  <si>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</si>
  <si>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</si>
  <si>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</si>
  <si>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</si>
  <si>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</si>
  <si>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</si>
  <si>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</si>
  <si>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</si>
  <si>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</si>
  <si>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</si>
  <si>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</si>
  <si>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</si>
  <si>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</si>
  <si>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</si>
  <si>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</si>
  <si>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</si>
  <si>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</si>
  <si>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</si>
  <si>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</si>
  <si>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</si>
  <si>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</si>
  <si>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</si>
  <si>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</si>
  <si>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</si>
  <si>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</si>
  <si>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</si>
  <si>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</si>
  <si>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</si>
  <si>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</si>
  <si>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</si>
  <si>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</si>
  <si>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</si>
  <si>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</si>
  <si>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</si>
  <si>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</si>
  <si>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</si>
  <si>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</si>
  <si>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</si>
  <si>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</si>
  <si>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Мероприятте 3.3.10 Приобретение и установка пожарной сигнализации по адресу: Молотовая, 92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</si>
  <si>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</si>
  <si>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 xml:space="preserve">Мэр города </t>
  </si>
  <si>
    <t>М.В. Торопкин</t>
  </si>
  <si>
    <t>от 14.10.2022  № 2242-па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</si>
</sst>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2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18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2" fillId="3" borderId="0" xfId="0" applyNumberFormat="1" applyFont="1" applyFill="1" applyBorder="1" applyAlignment="1">
      <alignment horizontal="right" vertical="center"/>
    </xf>
    <xf numFmtId="4" fontId="22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" fontId="22" fillId="2" borderId="20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Y136"/>
  <sheetViews>
    <sheetView tabSelected="1" view="pageBreakPreview" zoomScale="60" zoomScaleNormal="6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I5" sqref="I5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4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4"/>
      <c r="I1" s="122" t="s">
        <v>120</v>
      </c>
      <c r="J1" s="122"/>
    </row>
    <row r="2" spans="1:10" ht="18.75" customHeight="1" outlineLevel="1" x14ac:dyDescent="0.3">
      <c r="H2" s="14"/>
      <c r="I2" s="122" t="s">
        <v>111</v>
      </c>
      <c r="J2" s="122"/>
    </row>
    <row r="3" spans="1:10" ht="18.75" customHeight="1" outlineLevel="1" x14ac:dyDescent="0.3">
      <c r="H3" s="14"/>
      <c r="I3" s="122" t="s">
        <v>46</v>
      </c>
      <c r="J3" s="122"/>
    </row>
    <row r="4" spans="1:10" ht="35.25" customHeight="1" outlineLevel="1" x14ac:dyDescent="0.3">
      <c r="H4" s="14"/>
      <c r="I4" s="129" t="s">
        <v>131</v>
      </c>
      <c r="J4" s="129"/>
    </row>
    <row r="5" spans="1:10" ht="18.75" customHeight="1" outlineLevel="1" x14ac:dyDescent="0.25">
      <c r="H5" s="14"/>
      <c r="I5" s="14"/>
      <c r="J5" s="15"/>
    </row>
    <row r="6" spans="1:10" ht="18.75" outlineLevel="1" x14ac:dyDescent="0.3">
      <c r="G6" s="15"/>
      <c r="H6" s="73"/>
      <c r="I6" s="74"/>
      <c r="J6" s="15" t="s">
        <v>84</v>
      </c>
    </row>
    <row r="7" spans="1:10" ht="18.75" outlineLevel="1" x14ac:dyDescent="0.3">
      <c r="G7" s="15"/>
      <c r="H7" s="122" t="s">
        <v>112</v>
      </c>
      <c r="I7" s="122"/>
      <c r="J7" s="122"/>
    </row>
    <row r="8" spans="1:10" ht="18.75" outlineLevel="1" x14ac:dyDescent="0.3">
      <c r="G8" s="75"/>
      <c r="H8" s="122" t="s">
        <v>113</v>
      </c>
      <c r="I8" s="122"/>
      <c r="J8" s="122"/>
    </row>
    <row r="9" spans="1:10" ht="18.75" outlineLevel="1" x14ac:dyDescent="0.3">
      <c r="G9" s="15"/>
      <c r="H9" s="73"/>
      <c r="I9" s="74"/>
      <c r="J9" s="72" t="s">
        <v>51</v>
      </c>
    </row>
    <row r="10" spans="1:10" ht="7.5" customHeight="1" outlineLevel="1" x14ac:dyDescent="0.25">
      <c r="G10" s="15"/>
    </row>
    <row r="11" spans="1:10" ht="18.75" outlineLevel="1" x14ac:dyDescent="0.25">
      <c r="G11" s="15"/>
    </row>
    <row r="12" spans="1:10" ht="30" customHeight="1" x14ac:dyDescent="0.25">
      <c r="A12" s="87" t="s">
        <v>86</v>
      </c>
      <c r="B12" s="87"/>
      <c r="C12" s="87"/>
      <c r="D12" s="87"/>
      <c r="E12" s="87"/>
      <c r="F12" s="87"/>
      <c r="G12" s="87"/>
      <c r="H12" s="87"/>
      <c r="I12" s="87"/>
      <c r="J12" s="87"/>
    </row>
    <row r="13" spans="1:10" ht="30" customHeight="1" x14ac:dyDescent="0.25">
      <c r="A13" s="87" t="s">
        <v>85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ht="18.75" x14ac:dyDescent="0.25">
      <c r="G14" s="15"/>
    </row>
    <row r="15" spans="1:10" ht="48.75" customHeight="1" x14ac:dyDescent="0.25">
      <c r="A15" s="97" t="s">
        <v>88</v>
      </c>
      <c r="B15" s="94" t="s">
        <v>87</v>
      </c>
      <c r="C15" s="94" t="s">
        <v>0</v>
      </c>
      <c r="D15" s="105" t="s">
        <v>1</v>
      </c>
      <c r="E15" s="108" t="s">
        <v>78</v>
      </c>
      <c r="F15" s="109"/>
      <c r="G15" s="109"/>
      <c r="H15" s="109"/>
      <c r="I15" s="109"/>
      <c r="J15" s="110"/>
    </row>
    <row r="16" spans="1:10" ht="48.75" customHeight="1" x14ac:dyDescent="0.25">
      <c r="A16" s="89"/>
      <c r="B16" s="95"/>
      <c r="C16" s="95"/>
      <c r="D16" s="106"/>
      <c r="E16" s="98" t="s">
        <v>48</v>
      </c>
      <c r="F16" s="98" t="s">
        <v>47</v>
      </c>
      <c r="G16" s="98" t="s">
        <v>52</v>
      </c>
      <c r="H16" s="98" t="s">
        <v>53</v>
      </c>
      <c r="I16" s="98" t="s">
        <v>54</v>
      </c>
      <c r="J16" s="98" t="s">
        <v>55</v>
      </c>
    </row>
    <row r="17" spans="1:10" ht="48.75" customHeight="1" thickBot="1" x14ac:dyDescent="0.3">
      <c r="A17" s="100"/>
      <c r="B17" s="120"/>
      <c r="C17" s="120"/>
      <c r="D17" s="107"/>
      <c r="E17" s="99"/>
      <c r="F17" s="99"/>
      <c r="G17" s="99"/>
      <c r="H17" s="99"/>
      <c r="I17" s="99"/>
      <c r="J17" s="99"/>
    </row>
    <row r="18" spans="1:10" ht="39.75" customHeight="1" x14ac:dyDescent="0.3">
      <c r="A18" s="88" t="s">
        <v>56</v>
      </c>
      <c r="B18" s="91" t="s">
        <v>73</v>
      </c>
      <c r="C18" s="50" t="s">
        <v>49</v>
      </c>
      <c r="D18" s="51">
        <f>D19+D20</f>
        <v>1457172860.4100001</v>
      </c>
      <c r="E18" s="48">
        <f t="shared" ref="E18:J18" si="0">E19+E20</f>
        <v>179894561</v>
      </c>
      <c r="F18" s="48">
        <f t="shared" si="0"/>
        <v>232113667.27000004</v>
      </c>
      <c r="G18" s="48">
        <f t="shared" si="0"/>
        <v>275289307.81</v>
      </c>
      <c r="H18" s="48">
        <f t="shared" si="0"/>
        <v>283622566.81999993</v>
      </c>
      <c r="I18" s="48">
        <f t="shared" si="0"/>
        <v>247658235.06999999</v>
      </c>
      <c r="J18" s="48">
        <f t="shared" si="0"/>
        <v>238827235.06999999</v>
      </c>
    </row>
    <row r="19" spans="1:10" ht="39.75" customHeight="1" x14ac:dyDescent="0.25">
      <c r="A19" s="89"/>
      <c r="B19" s="92"/>
      <c r="C19" s="69" t="s">
        <v>6</v>
      </c>
      <c r="D19" s="52">
        <f>D21+D28+D72</f>
        <v>1419150825.22</v>
      </c>
      <c r="E19" s="16">
        <f>E21+E28+E72</f>
        <v>176322455.11000001</v>
      </c>
      <c r="F19" s="16">
        <f t="shared" ref="F19" si="1">F21+F28+F72</f>
        <v>225291637.97000003</v>
      </c>
      <c r="G19" s="16">
        <f>G21+G28+G72</f>
        <v>271052007.81</v>
      </c>
      <c r="H19" s="16">
        <f>H21+H28+H72</f>
        <v>283622566.81999993</v>
      </c>
      <c r="I19" s="16">
        <f>I21+I28+I72</f>
        <v>235962935.06999999</v>
      </c>
      <c r="J19" s="16">
        <f t="shared" ref="J19" si="2">J21+J28+J72</f>
        <v>227131935.06999999</v>
      </c>
    </row>
    <row r="20" spans="1:10" ht="39.75" customHeight="1" x14ac:dyDescent="0.25">
      <c r="A20" s="90"/>
      <c r="B20" s="93"/>
      <c r="C20" s="69" t="s">
        <v>77</v>
      </c>
      <c r="D20" s="33">
        <f>D29+D73</f>
        <v>38022035.189999998</v>
      </c>
      <c r="E20" s="34">
        <f t="shared" ref="E20:J20" si="3">E29+E73</f>
        <v>3572105.89</v>
      </c>
      <c r="F20" s="34">
        <f t="shared" si="3"/>
        <v>6822029.2999999998</v>
      </c>
      <c r="G20" s="34">
        <f t="shared" si="3"/>
        <v>4237300</v>
      </c>
      <c r="H20" s="34">
        <f t="shared" si="3"/>
        <v>0</v>
      </c>
      <c r="I20" s="34">
        <f t="shared" si="3"/>
        <v>11695300</v>
      </c>
      <c r="J20" s="34">
        <f t="shared" si="3"/>
        <v>11695300</v>
      </c>
    </row>
    <row r="21" spans="1:10" s="39" customFormat="1" ht="82.5" customHeight="1" x14ac:dyDescent="0.25">
      <c r="A21" s="70" t="s">
        <v>57</v>
      </c>
      <c r="B21" s="41" t="s">
        <v>43</v>
      </c>
      <c r="C21" s="41" t="s">
        <v>6</v>
      </c>
      <c r="D21" s="9">
        <f>E21+F21+G21+H21+I21+J21</f>
        <v>89292498.180000007</v>
      </c>
      <c r="E21" s="16">
        <f t="shared" ref="E21:J21" si="4">E22+E24</f>
        <v>11125093.779999999</v>
      </c>
      <c r="F21" s="16">
        <f t="shared" si="4"/>
        <v>13072575.51</v>
      </c>
      <c r="G21" s="16">
        <f t="shared" si="4"/>
        <v>15272213.17</v>
      </c>
      <c r="H21" s="16">
        <f t="shared" si="4"/>
        <v>16194205.239999998</v>
      </c>
      <c r="I21" s="16">
        <f t="shared" si="4"/>
        <v>16814205.240000002</v>
      </c>
      <c r="J21" s="16">
        <f t="shared" si="4"/>
        <v>16814205.240000002</v>
      </c>
    </row>
    <row r="22" spans="1:10" ht="99" customHeight="1" x14ac:dyDescent="0.25">
      <c r="A22" s="55" t="s">
        <v>9</v>
      </c>
      <c r="B22" s="1" t="s">
        <v>43</v>
      </c>
      <c r="C22" s="1" t="s">
        <v>6</v>
      </c>
      <c r="D22" s="10">
        <f>E22+F22+G22+H22+I22+J22</f>
        <v>85069305.219999984</v>
      </c>
      <c r="E22" s="19">
        <v>11039960.58</v>
      </c>
      <c r="F22" s="17">
        <f>12734649.51+186313.35</f>
        <v>12920962.859999999</v>
      </c>
      <c r="G22" s="17">
        <v>15164509.76</v>
      </c>
      <c r="H22" s="17">
        <v>15315461.539999999</v>
      </c>
      <c r="I22" s="17">
        <v>15314205.24</v>
      </c>
      <c r="J22" s="17">
        <v>15314205.24</v>
      </c>
    </row>
    <row r="23" spans="1:10" ht="63.75" customHeight="1" x14ac:dyDescent="0.25">
      <c r="A23" s="55" t="s">
        <v>10</v>
      </c>
      <c r="B23" s="1" t="s">
        <v>43</v>
      </c>
      <c r="C23" s="1" t="s">
        <v>6</v>
      </c>
      <c r="D23" s="30" t="s">
        <v>7</v>
      </c>
      <c r="E23" s="18" t="s">
        <v>7</v>
      </c>
      <c r="F23" s="18" t="s">
        <v>7</v>
      </c>
      <c r="G23" s="18" t="s">
        <v>7</v>
      </c>
      <c r="H23" s="18" t="s">
        <v>7</v>
      </c>
      <c r="I23" s="18" t="s">
        <v>7</v>
      </c>
      <c r="J23" s="18" t="s">
        <v>7</v>
      </c>
    </row>
    <row r="24" spans="1:10" ht="63.75" customHeight="1" x14ac:dyDescent="0.25">
      <c r="A24" s="55" t="s">
        <v>94</v>
      </c>
      <c r="B24" s="1" t="s">
        <v>43</v>
      </c>
      <c r="C24" s="1" t="s">
        <v>6</v>
      </c>
      <c r="D24" s="10">
        <f>E24+F24+G24+H24+I24+J24</f>
        <v>4223192.96</v>
      </c>
      <c r="E24" s="17">
        <f>376122.2-140000-150989</f>
        <v>85133.200000000012</v>
      </c>
      <c r="F24" s="17">
        <f>506122.2-45000-128247.67-181261.88</f>
        <v>151612.65000000002</v>
      </c>
      <c r="G24" s="17">
        <v>107703.41</v>
      </c>
      <c r="H24" s="17">
        <v>878743.7</v>
      </c>
      <c r="I24" s="17">
        <v>1500000</v>
      </c>
      <c r="J24" s="17">
        <v>1500000</v>
      </c>
    </row>
    <row r="25" spans="1:10" ht="213.75" customHeight="1" x14ac:dyDescent="0.25">
      <c r="A25" s="55" t="s">
        <v>34</v>
      </c>
      <c r="B25" s="1" t="s">
        <v>74</v>
      </c>
      <c r="C25" s="1" t="s">
        <v>6</v>
      </c>
      <c r="D25" s="30" t="s">
        <v>7</v>
      </c>
      <c r="E25" s="18" t="s">
        <v>7</v>
      </c>
      <c r="F25" s="18" t="s">
        <v>7</v>
      </c>
      <c r="G25" s="18" t="s">
        <v>7</v>
      </c>
      <c r="H25" s="18" t="s">
        <v>7</v>
      </c>
      <c r="I25" s="18" t="s">
        <v>7</v>
      </c>
      <c r="J25" s="18" t="s">
        <v>7</v>
      </c>
    </row>
    <row r="26" spans="1:10" ht="82.5" customHeight="1" x14ac:dyDescent="0.25">
      <c r="A26" s="70" t="s">
        <v>58</v>
      </c>
      <c r="B26" s="41" t="s">
        <v>43</v>
      </c>
      <c r="C26" s="41" t="s">
        <v>6</v>
      </c>
      <c r="D26" s="30" t="s">
        <v>7</v>
      </c>
      <c r="E26" s="18" t="s">
        <v>7</v>
      </c>
      <c r="F26" s="18" t="s">
        <v>7</v>
      </c>
      <c r="G26" s="18" t="s">
        <v>7</v>
      </c>
      <c r="H26" s="18" t="s">
        <v>7</v>
      </c>
      <c r="I26" s="18" t="s">
        <v>7</v>
      </c>
      <c r="J26" s="18" t="s">
        <v>7</v>
      </c>
    </row>
    <row r="27" spans="1:10" ht="42" customHeight="1" x14ac:dyDescent="0.25">
      <c r="A27" s="97" t="s">
        <v>59</v>
      </c>
      <c r="B27" s="94" t="s">
        <v>5</v>
      </c>
      <c r="C27" s="69" t="s">
        <v>49</v>
      </c>
      <c r="D27" s="35">
        <f>D28+D29</f>
        <v>174774947.85999998</v>
      </c>
      <c r="E27" s="36">
        <f t="shared" ref="E27:J27" si="5">E28+E29</f>
        <v>25356368.810000002</v>
      </c>
      <c r="F27" s="36">
        <f t="shared" si="5"/>
        <v>29378541.989999998</v>
      </c>
      <c r="G27" s="36">
        <f>G28+G29</f>
        <v>30361534.210000001</v>
      </c>
      <c r="H27" s="36">
        <f t="shared" si="5"/>
        <v>33029603.839999996</v>
      </c>
      <c r="I27" s="36">
        <f t="shared" si="5"/>
        <v>28440805.82</v>
      </c>
      <c r="J27" s="36">
        <f t="shared" si="5"/>
        <v>28440805.82</v>
      </c>
    </row>
    <row r="28" spans="1:10" s="39" customFormat="1" ht="42" customHeight="1" x14ac:dyDescent="0.25">
      <c r="A28" s="89"/>
      <c r="B28" s="95"/>
      <c r="C28" s="69" t="s">
        <v>6</v>
      </c>
      <c r="D28" s="35">
        <f>D30+D46+D50+D66</f>
        <v>171202841.97</v>
      </c>
      <c r="E28" s="36">
        <f>E30+E46+E50+E66</f>
        <v>21784262.920000002</v>
      </c>
      <c r="F28" s="36">
        <f t="shared" ref="F28:J28" si="6">F30+F46+F50+F66</f>
        <v>29378541.989999998</v>
      </c>
      <c r="G28" s="36">
        <f t="shared" si="6"/>
        <v>30361534.210000001</v>
      </c>
      <c r="H28" s="36">
        <f t="shared" si="6"/>
        <v>33029603.839999996</v>
      </c>
      <c r="I28" s="36">
        <f t="shared" si="6"/>
        <v>28440805.82</v>
      </c>
      <c r="J28" s="36">
        <f t="shared" si="6"/>
        <v>28440805.82</v>
      </c>
    </row>
    <row r="29" spans="1:10" s="39" customFormat="1" ht="42" customHeight="1" x14ac:dyDescent="0.25">
      <c r="A29" s="90"/>
      <c r="B29" s="96"/>
      <c r="C29" s="69" t="s">
        <v>77</v>
      </c>
      <c r="D29" s="35">
        <f>D51</f>
        <v>3572105.89</v>
      </c>
      <c r="E29" s="36">
        <f t="shared" ref="E29:J29" si="7">E51</f>
        <v>3572105.89</v>
      </c>
      <c r="F29" s="36">
        <f t="shared" si="7"/>
        <v>0</v>
      </c>
      <c r="G29" s="36">
        <f t="shared" si="7"/>
        <v>0</v>
      </c>
      <c r="H29" s="36">
        <f t="shared" si="7"/>
        <v>0</v>
      </c>
      <c r="I29" s="36">
        <f t="shared" si="7"/>
        <v>0</v>
      </c>
      <c r="J29" s="36">
        <f t="shared" si="7"/>
        <v>0</v>
      </c>
    </row>
    <row r="30" spans="1:10" ht="74.25" customHeight="1" x14ac:dyDescent="0.25">
      <c r="A30" s="66" t="s">
        <v>11</v>
      </c>
      <c r="B30" s="67" t="s">
        <v>5</v>
      </c>
      <c r="C30" s="1" t="s">
        <v>6</v>
      </c>
      <c r="D30" s="10">
        <f>SUM(E30:J30)</f>
        <v>7442064.9699999988</v>
      </c>
      <c r="E30" s="17">
        <f>SUM(E31:E45)</f>
        <v>702424.43</v>
      </c>
      <c r="F30" s="17">
        <f t="shared" ref="F30:J30" si="8">SUM(F31:F45)</f>
        <v>4166754.96</v>
      </c>
      <c r="G30" s="17">
        <f t="shared" si="8"/>
        <v>1862826.48</v>
      </c>
      <c r="H30" s="17">
        <f t="shared" si="8"/>
        <v>710059.10000000009</v>
      </c>
      <c r="I30" s="17">
        <f t="shared" si="8"/>
        <v>0</v>
      </c>
      <c r="J30" s="17">
        <f t="shared" si="8"/>
        <v>0</v>
      </c>
    </row>
    <row r="31" spans="1:10" ht="141" customHeight="1" x14ac:dyDescent="0.25">
      <c r="A31" s="55" t="s">
        <v>23</v>
      </c>
      <c r="B31" s="1" t="s">
        <v>5</v>
      </c>
      <c r="C31" s="1" t="s">
        <v>6</v>
      </c>
      <c r="D31" s="10">
        <f t="shared" ref="D31:D35" si="9">SUM(E31:J31)</f>
        <v>963340.97</v>
      </c>
      <c r="E31" s="31">
        <v>324848.98</v>
      </c>
      <c r="F31" s="31">
        <f>214900+60000+47586.88</f>
        <v>322486.88</v>
      </c>
      <c r="G31" s="31">
        <v>160170.97</v>
      </c>
      <c r="H31" s="31">
        <v>155834.14000000001</v>
      </c>
      <c r="I31" s="31">
        <v>0</v>
      </c>
      <c r="J31" s="31">
        <v>0</v>
      </c>
    </row>
    <row r="32" spans="1:10" ht="85.5" customHeight="1" x14ac:dyDescent="0.25">
      <c r="A32" s="55" t="s">
        <v>64</v>
      </c>
      <c r="B32" s="1" t="s">
        <v>5</v>
      </c>
      <c r="C32" s="1" t="s">
        <v>6</v>
      </c>
      <c r="D32" s="10">
        <f t="shared" si="9"/>
        <v>902665.26</v>
      </c>
      <c r="E32" s="31">
        <v>254321.85</v>
      </c>
      <c r="F32" s="31">
        <f>207280-86220.48-25379.81</f>
        <v>95679.71</v>
      </c>
      <c r="G32" s="31">
        <v>396034</v>
      </c>
      <c r="H32" s="31">
        <v>156629.70000000001</v>
      </c>
      <c r="I32" s="31">
        <v>0</v>
      </c>
      <c r="J32" s="31">
        <v>0</v>
      </c>
    </row>
    <row r="33" spans="1:10" ht="113.25" customHeight="1" x14ac:dyDescent="0.25">
      <c r="A33" s="55" t="s">
        <v>65</v>
      </c>
      <c r="B33" s="1" t="s">
        <v>5</v>
      </c>
      <c r="C33" s="1" t="s">
        <v>6</v>
      </c>
      <c r="D33" s="10">
        <f t="shared" si="9"/>
        <v>800</v>
      </c>
      <c r="E33" s="31">
        <v>0</v>
      </c>
      <c r="F33" s="31">
        <f>20000-19600</f>
        <v>400</v>
      </c>
      <c r="G33" s="31">
        <v>0</v>
      </c>
      <c r="H33" s="31">
        <v>400</v>
      </c>
      <c r="I33" s="31">
        <v>0</v>
      </c>
      <c r="J33" s="31">
        <v>0</v>
      </c>
    </row>
    <row r="34" spans="1:10" ht="77.25" customHeight="1" x14ac:dyDescent="0.25">
      <c r="A34" s="55" t="s">
        <v>81</v>
      </c>
      <c r="B34" s="1" t="s">
        <v>5</v>
      </c>
      <c r="C34" s="1" t="s">
        <v>6</v>
      </c>
      <c r="D34" s="10">
        <f t="shared" si="9"/>
        <v>185430.8</v>
      </c>
      <c r="E34" s="31">
        <f>4000*26-28440-6129.2</f>
        <v>69430.8</v>
      </c>
      <c r="F34" s="31">
        <f>156000-116000</f>
        <v>40000</v>
      </c>
      <c r="G34" s="31">
        <v>40000</v>
      </c>
      <c r="H34" s="31">
        <v>36000</v>
      </c>
      <c r="I34" s="31">
        <v>0</v>
      </c>
      <c r="J34" s="31">
        <v>0</v>
      </c>
    </row>
    <row r="35" spans="1:10" ht="79.5" customHeight="1" x14ac:dyDescent="0.25">
      <c r="A35" s="55" t="s">
        <v>24</v>
      </c>
      <c r="B35" s="1" t="s">
        <v>5</v>
      </c>
      <c r="C35" s="1" t="s">
        <v>6</v>
      </c>
      <c r="D35" s="10">
        <f t="shared" si="9"/>
        <v>0</v>
      </c>
      <c r="E35" s="17">
        <f>380462-380462</f>
        <v>0</v>
      </c>
      <c r="F35" s="17">
        <f>380462-380462</f>
        <v>0</v>
      </c>
      <c r="G35" s="17">
        <v>0</v>
      </c>
      <c r="H35" s="17">
        <v>0</v>
      </c>
      <c r="I35" s="17">
        <v>0</v>
      </c>
      <c r="J35" s="17">
        <v>0</v>
      </c>
    </row>
    <row r="36" spans="1:10" ht="114" customHeight="1" x14ac:dyDescent="0.25">
      <c r="A36" s="55" t="s">
        <v>25</v>
      </c>
      <c r="B36" s="1" t="s">
        <v>5</v>
      </c>
      <c r="C36" s="1" t="s">
        <v>6</v>
      </c>
      <c r="D36" s="30" t="s">
        <v>7</v>
      </c>
      <c r="E36" s="18" t="s">
        <v>7</v>
      </c>
      <c r="F36" s="18" t="s">
        <v>7</v>
      </c>
      <c r="G36" s="18" t="s">
        <v>7</v>
      </c>
      <c r="H36" s="18" t="s">
        <v>7</v>
      </c>
      <c r="I36" s="18" t="s">
        <v>7</v>
      </c>
      <c r="J36" s="18" t="s">
        <v>7</v>
      </c>
    </row>
    <row r="37" spans="1:10" ht="158.25" customHeight="1" x14ac:dyDescent="0.25">
      <c r="A37" s="56" t="s">
        <v>32</v>
      </c>
      <c r="B37" s="28" t="s">
        <v>5</v>
      </c>
      <c r="C37" s="1" t="s">
        <v>6</v>
      </c>
      <c r="D37" s="30" t="s">
        <v>7</v>
      </c>
      <c r="E37" s="18" t="s">
        <v>7</v>
      </c>
      <c r="F37" s="18" t="s">
        <v>7</v>
      </c>
      <c r="G37" s="18" t="s">
        <v>7</v>
      </c>
      <c r="H37" s="18" t="s">
        <v>7</v>
      </c>
      <c r="I37" s="18" t="s">
        <v>7</v>
      </c>
      <c r="J37" s="18" t="s">
        <v>7</v>
      </c>
    </row>
    <row r="38" spans="1:10" ht="100.5" customHeight="1" x14ac:dyDescent="0.25">
      <c r="A38" s="56" t="s">
        <v>31</v>
      </c>
      <c r="B38" s="28" t="s">
        <v>5</v>
      </c>
      <c r="C38" s="1" t="s">
        <v>6</v>
      </c>
      <c r="D38" s="30" t="s">
        <v>7</v>
      </c>
      <c r="E38" s="18" t="s">
        <v>7</v>
      </c>
      <c r="F38" s="18" t="s">
        <v>7</v>
      </c>
      <c r="G38" s="18" t="s">
        <v>7</v>
      </c>
      <c r="H38" s="18" t="s">
        <v>7</v>
      </c>
      <c r="I38" s="18" t="s">
        <v>7</v>
      </c>
      <c r="J38" s="18" t="s">
        <v>7</v>
      </c>
    </row>
    <row r="39" spans="1:10" ht="85.5" customHeight="1" x14ac:dyDescent="0.25">
      <c r="A39" s="56" t="s">
        <v>66</v>
      </c>
      <c r="B39" s="28" t="s">
        <v>5</v>
      </c>
      <c r="C39" s="1" t="s">
        <v>6</v>
      </c>
      <c r="D39" s="10">
        <f t="shared" ref="D39:D48" si="10">SUM(E39:J39)</f>
        <v>0</v>
      </c>
      <c r="E39" s="37">
        <f>2000*2-4000</f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</row>
    <row r="40" spans="1:10" ht="76.5" customHeight="1" x14ac:dyDescent="0.25">
      <c r="A40" s="56" t="s">
        <v>67</v>
      </c>
      <c r="B40" s="28" t="s">
        <v>5</v>
      </c>
      <c r="C40" s="1" t="s">
        <v>6</v>
      </c>
      <c r="D40" s="10">
        <f t="shared" si="10"/>
        <v>621888.52</v>
      </c>
      <c r="E40" s="37">
        <f>10*5382.28</f>
        <v>53822.799999999996</v>
      </c>
      <c r="F40" s="37">
        <f>99572.18+50000-19952.28</f>
        <v>129619.9</v>
      </c>
      <c r="G40" s="37">
        <v>342115.56</v>
      </c>
      <c r="H40" s="37">
        <v>96330.26</v>
      </c>
      <c r="I40" s="37">
        <v>0</v>
      </c>
      <c r="J40" s="37">
        <v>0</v>
      </c>
    </row>
    <row r="41" spans="1:10" ht="80.25" customHeight="1" x14ac:dyDescent="0.25">
      <c r="A41" s="56" t="s">
        <v>97</v>
      </c>
      <c r="B41" s="28" t="s">
        <v>5</v>
      </c>
      <c r="C41" s="1" t="s">
        <v>6</v>
      </c>
      <c r="D41" s="10">
        <f t="shared" si="10"/>
        <v>2861600</v>
      </c>
      <c r="E41" s="37">
        <v>0</v>
      </c>
      <c r="F41" s="37">
        <f>6823340-2823340-1138400</f>
        <v>2861600</v>
      </c>
      <c r="G41" s="37">
        <v>0</v>
      </c>
      <c r="H41" s="37">
        <v>0</v>
      </c>
      <c r="I41" s="37">
        <v>0</v>
      </c>
      <c r="J41" s="37">
        <v>0</v>
      </c>
    </row>
    <row r="42" spans="1:10" ht="75" customHeight="1" x14ac:dyDescent="0.25">
      <c r="A42" s="56" t="s">
        <v>102</v>
      </c>
      <c r="B42" s="28" t="s">
        <v>5</v>
      </c>
      <c r="C42" s="1" t="s">
        <v>6</v>
      </c>
      <c r="D42" s="10">
        <f t="shared" si="10"/>
        <v>991268.47</v>
      </c>
      <c r="E42" s="37">
        <v>0</v>
      </c>
      <c r="F42" s="37">
        <f>800000-83031.53</f>
        <v>716968.47</v>
      </c>
      <c r="G42" s="37">
        <v>274300</v>
      </c>
      <c r="H42" s="37">
        <v>0</v>
      </c>
      <c r="I42" s="37">
        <v>0</v>
      </c>
      <c r="J42" s="37">
        <v>0</v>
      </c>
    </row>
    <row r="43" spans="1:10" ht="78" customHeight="1" x14ac:dyDescent="0.25">
      <c r="A43" s="56" t="s">
        <v>107</v>
      </c>
      <c r="B43" s="28" t="s">
        <v>5</v>
      </c>
      <c r="C43" s="1" t="s">
        <v>6</v>
      </c>
      <c r="D43" s="10">
        <f t="shared" si="10"/>
        <v>552280.94999999995</v>
      </c>
      <c r="E43" s="37">
        <v>0</v>
      </c>
      <c r="F43" s="37">
        <v>0</v>
      </c>
      <c r="G43" s="37">
        <v>467415.95</v>
      </c>
      <c r="H43" s="37">
        <v>84865</v>
      </c>
      <c r="I43" s="37">
        <v>0</v>
      </c>
      <c r="J43" s="37">
        <v>0</v>
      </c>
    </row>
    <row r="44" spans="1:10" ht="81.75" customHeight="1" x14ac:dyDescent="0.25">
      <c r="A44" s="56" t="s">
        <v>114</v>
      </c>
      <c r="B44" s="28" t="s">
        <v>5</v>
      </c>
      <c r="C44" s="1" t="s">
        <v>6</v>
      </c>
      <c r="D44" s="10">
        <f t="shared" si="10"/>
        <v>360000</v>
      </c>
      <c r="E44" s="37">
        <v>0</v>
      </c>
      <c r="F44" s="37">
        <v>0</v>
      </c>
      <c r="G44" s="37">
        <v>180000</v>
      </c>
      <c r="H44" s="37">
        <v>180000</v>
      </c>
      <c r="I44" s="37">
        <v>0</v>
      </c>
      <c r="J44" s="37">
        <v>0</v>
      </c>
    </row>
    <row r="45" spans="1:10" ht="85.5" customHeight="1" x14ac:dyDescent="0.25">
      <c r="A45" s="56" t="s">
        <v>115</v>
      </c>
      <c r="B45" s="28" t="s">
        <v>5</v>
      </c>
      <c r="C45" s="1" t="s">
        <v>6</v>
      </c>
      <c r="D45" s="10">
        <f t="shared" si="10"/>
        <v>2790</v>
      </c>
      <c r="E45" s="37">
        <v>0</v>
      </c>
      <c r="F45" s="37">
        <v>0</v>
      </c>
      <c r="G45" s="37">
        <v>2790</v>
      </c>
      <c r="H45" s="37">
        <v>0</v>
      </c>
      <c r="I45" s="37">
        <v>0</v>
      </c>
      <c r="J45" s="37">
        <v>0</v>
      </c>
    </row>
    <row r="46" spans="1:10" ht="78" customHeight="1" x14ac:dyDescent="0.25">
      <c r="A46" s="55" t="s">
        <v>26</v>
      </c>
      <c r="B46" s="1" t="s">
        <v>5</v>
      </c>
      <c r="C46" s="1" t="s">
        <v>6</v>
      </c>
      <c r="D46" s="10">
        <f t="shared" si="10"/>
        <v>3846263.92</v>
      </c>
      <c r="E46" s="17">
        <f t="shared" ref="E46:J46" si="11">SUM(E47:E48)</f>
        <v>1059883.27</v>
      </c>
      <c r="F46" s="17">
        <f t="shared" si="11"/>
        <v>526197.83000000031</v>
      </c>
      <c r="G46" s="17">
        <f t="shared" si="11"/>
        <v>438780.23</v>
      </c>
      <c r="H46" s="17">
        <f t="shared" si="11"/>
        <v>1821402.5899999999</v>
      </c>
      <c r="I46" s="17">
        <f t="shared" si="11"/>
        <v>0</v>
      </c>
      <c r="J46" s="17">
        <f t="shared" si="11"/>
        <v>0</v>
      </c>
    </row>
    <row r="47" spans="1:10" ht="184.5" customHeight="1" x14ac:dyDescent="0.25">
      <c r="A47" s="57" t="s">
        <v>95</v>
      </c>
      <c r="B47" s="1" t="s">
        <v>5</v>
      </c>
      <c r="C47" s="1" t="s">
        <v>6</v>
      </c>
      <c r="D47" s="10">
        <f t="shared" si="10"/>
        <v>3531578.1800000006</v>
      </c>
      <c r="E47" s="31">
        <f>996262.92+1269.19</f>
        <v>997532.11</v>
      </c>
      <c r="F47" s="31">
        <f>6504790-662550-442954.88-2794017-326435.51-916786.74-900000-343.48</f>
        <v>461702.39000000036</v>
      </c>
      <c r="G47" s="31">
        <v>397827.49</v>
      </c>
      <c r="H47" s="31">
        <v>1674516.19</v>
      </c>
      <c r="I47" s="31">
        <v>0</v>
      </c>
      <c r="J47" s="31">
        <v>0</v>
      </c>
    </row>
    <row r="48" spans="1:10" ht="84.75" customHeight="1" x14ac:dyDescent="0.25">
      <c r="A48" s="55" t="s">
        <v>68</v>
      </c>
      <c r="B48" s="1" t="s">
        <v>5</v>
      </c>
      <c r="C48" s="1" t="s">
        <v>6</v>
      </c>
      <c r="D48" s="10">
        <f t="shared" si="10"/>
        <v>314685.74</v>
      </c>
      <c r="E48" s="17">
        <f>144500+8696.63-92528.6+1683.13</f>
        <v>62351.159999999996</v>
      </c>
      <c r="F48" s="17">
        <f>144500-36999.07-43005.49</f>
        <v>64495.439999999995</v>
      </c>
      <c r="G48" s="17">
        <v>40952.74</v>
      </c>
      <c r="H48" s="17">
        <v>146886.39999999999</v>
      </c>
      <c r="I48" s="17">
        <v>0</v>
      </c>
      <c r="J48" s="17">
        <v>0</v>
      </c>
    </row>
    <row r="49" spans="1:10" ht="37.9" customHeight="1" x14ac:dyDescent="0.25">
      <c r="A49" s="84" t="s">
        <v>12</v>
      </c>
      <c r="B49" s="126" t="s">
        <v>5</v>
      </c>
      <c r="C49" s="69" t="s">
        <v>49</v>
      </c>
      <c r="D49" s="10">
        <f>SUM(E49:J49)</f>
        <v>36444856.980000004</v>
      </c>
      <c r="E49" s="17">
        <f>E50+E51</f>
        <v>8929994.9000000004</v>
      </c>
      <c r="F49" s="17">
        <f>F50+F51</f>
        <v>5795806.9100000001</v>
      </c>
      <c r="G49" s="17">
        <f t="shared" ref="G49:J49" si="12">G50+G51</f>
        <v>4477014.12</v>
      </c>
      <c r="H49" s="17">
        <f t="shared" si="12"/>
        <v>6977855.3700000001</v>
      </c>
      <c r="I49" s="17">
        <f t="shared" si="12"/>
        <v>5132092.84</v>
      </c>
      <c r="J49" s="17">
        <f t="shared" si="12"/>
        <v>5132092.84</v>
      </c>
    </row>
    <row r="50" spans="1:10" ht="37.9" customHeight="1" x14ac:dyDescent="0.25">
      <c r="A50" s="85"/>
      <c r="B50" s="127"/>
      <c r="C50" s="69" t="s">
        <v>6</v>
      </c>
      <c r="D50" s="10">
        <f>D52+D55+D56+D57+D59+D61+D62+D63+D64</f>
        <v>32640038.460000001</v>
      </c>
      <c r="E50" s="17">
        <f>E52+E55+E56+E57+E59+E61+E62+E63+E64</f>
        <v>5357889.01</v>
      </c>
      <c r="F50" s="17">
        <f t="shared" ref="F50:G50" si="13">F52+F55+F56+F57+F59+F61+F62+F63+F64</f>
        <v>5795806.9100000001</v>
      </c>
      <c r="G50" s="17">
        <f t="shared" si="13"/>
        <v>4477014.12</v>
      </c>
      <c r="H50" s="17">
        <f>H52+H55+H56+H57+H59+H61+H62+H63+H64+H65</f>
        <v>6977855.3700000001</v>
      </c>
      <c r="I50" s="17">
        <f t="shared" ref="I50:J50" si="14">I52+I55+I56+I57+I59+I61+I62+I63+I64+I65</f>
        <v>5132092.84</v>
      </c>
      <c r="J50" s="17">
        <f t="shared" si="14"/>
        <v>5132092.84</v>
      </c>
    </row>
    <row r="51" spans="1:10" ht="37.9" customHeight="1" x14ac:dyDescent="0.25">
      <c r="A51" s="86"/>
      <c r="B51" s="128"/>
      <c r="C51" s="69" t="s">
        <v>77</v>
      </c>
      <c r="D51" s="10">
        <f>D60</f>
        <v>3572105.89</v>
      </c>
      <c r="E51" s="17">
        <f t="shared" ref="E51:J51" si="15">E60</f>
        <v>3572105.89</v>
      </c>
      <c r="F51" s="17">
        <f t="shared" si="15"/>
        <v>0</v>
      </c>
      <c r="G51" s="17">
        <f t="shared" si="15"/>
        <v>0</v>
      </c>
      <c r="H51" s="17">
        <f t="shared" si="15"/>
        <v>0</v>
      </c>
      <c r="I51" s="17">
        <f t="shared" si="15"/>
        <v>0</v>
      </c>
      <c r="J51" s="17">
        <f t="shared" si="15"/>
        <v>0</v>
      </c>
    </row>
    <row r="52" spans="1:10" ht="30" customHeight="1" x14ac:dyDescent="0.25">
      <c r="A52" s="84" t="s">
        <v>27</v>
      </c>
      <c r="B52" s="38"/>
      <c r="C52" s="1" t="s">
        <v>49</v>
      </c>
      <c r="D52" s="10">
        <f t="shared" ref="D52:D70" si="16">SUM(E52:J52)</f>
        <v>11722508.359999999</v>
      </c>
      <c r="E52" s="17">
        <f>E53+E54</f>
        <v>2063208.5899999999</v>
      </c>
      <c r="F52" s="17">
        <f>F53+F54</f>
        <v>3330133.05</v>
      </c>
      <c r="G52" s="17">
        <f t="shared" ref="G52:J52" si="17">G53+G54</f>
        <v>1791035.12</v>
      </c>
      <c r="H52" s="17">
        <f t="shared" si="17"/>
        <v>1537905.62</v>
      </c>
      <c r="I52" s="17">
        <f t="shared" si="17"/>
        <v>1500112.99</v>
      </c>
      <c r="J52" s="17">
        <f t="shared" si="17"/>
        <v>1500112.99</v>
      </c>
    </row>
    <row r="53" spans="1:10" ht="75" customHeight="1" x14ac:dyDescent="0.25">
      <c r="A53" s="85"/>
      <c r="B53" s="67" t="s">
        <v>5</v>
      </c>
      <c r="C53" s="68" t="s">
        <v>6</v>
      </c>
      <c r="D53" s="10">
        <f t="shared" si="16"/>
        <v>9679070.1400000006</v>
      </c>
      <c r="E53" s="17">
        <f>1407602.69+36457.68</f>
        <v>1444060.3699999999</v>
      </c>
      <c r="F53" s="17">
        <f>1189294.77+654400+610600-241628.45-262393.3-44429.97</f>
        <v>1905843.0499999998</v>
      </c>
      <c r="G53" s="17">
        <v>1791035.12</v>
      </c>
      <c r="H53" s="17">
        <v>1537905.62</v>
      </c>
      <c r="I53" s="17">
        <v>1500112.99</v>
      </c>
      <c r="J53" s="17">
        <v>1500112.99</v>
      </c>
    </row>
    <row r="54" spans="1:10" ht="57.75" customHeight="1" x14ac:dyDescent="0.25">
      <c r="A54" s="86"/>
      <c r="B54" s="1" t="s">
        <v>79</v>
      </c>
      <c r="C54" s="68" t="s">
        <v>6</v>
      </c>
      <c r="D54" s="10">
        <f t="shared" si="16"/>
        <v>2043438.22</v>
      </c>
      <c r="E54" s="17">
        <v>619148.22</v>
      </c>
      <c r="F54" s="17">
        <f>1636390-212100</f>
        <v>1424290</v>
      </c>
      <c r="G54" s="17">
        <v>0</v>
      </c>
      <c r="H54" s="17">
        <v>0</v>
      </c>
      <c r="I54" s="17">
        <v>0</v>
      </c>
      <c r="J54" s="17">
        <v>0</v>
      </c>
    </row>
    <row r="55" spans="1:10" ht="84" customHeight="1" x14ac:dyDescent="0.25">
      <c r="A55" s="55" t="s">
        <v>69</v>
      </c>
      <c r="B55" s="1" t="s">
        <v>5</v>
      </c>
      <c r="C55" s="1" t="s">
        <v>6</v>
      </c>
      <c r="D55" s="10">
        <f t="shared" si="16"/>
        <v>1903033.77</v>
      </c>
      <c r="E55" s="31">
        <v>662817.76</v>
      </c>
      <c r="F55" s="31">
        <f>239040-104370</f>
        <v>134670</v>
      </c>
      <c r="G55" s="31">
        <v>193361.36</v>
      </c>
      <c r="H55" s="31">
        <v>304061.55</v>
      </c>
      <c r="I55" s="31">
        <v>304061.55</v>
      </c>
      <c r="J55" s="31">
        <v>304061.55</v>
      </c>
    </row>
    <row r="56" spans="1:10" ht="73.5" customHeight="1" x14ac:dyDescent="0.25">
      <c r="A56" s="55" t="s">
        <v>70</v>
      </c>
      <c r="B56" s="1" t="s">
        <v>5</v>
      </c>
      <c r="C56" s="29" t="s">
        <v>6</v>
      </c>
      <c r="D56" s="10">
        <f t="shared" si="16"/>
        <v>13724433.16</v>
      </c>
      <c r="E56" s="31">
        <f>2091009.55-114910</f>
        <v>1976099.55</v>
      </c>
      <c r="F56" s="31">
        <f>2569100+8150-167645.12+233980-527422</f>
        <v>2116162.88</v>
      </c>
      <c r="G56" s="31">
        <v>899833.64</v>
      </c>
      <c r="H56" s="31">
        <v>2076500.49</v>
      </c>
      <c r="I56" s="31">
        <v>3327918.3</v>
      </c>
      <c r="J56" s="31">
        <v>3327918.3</v>
      </c>
    </row>
    <row r="57" spans="1:10" ht="82.5" customHeight="1" x14ac:dyDescent="0.25">
      <c r="A57" s="55" t="s">
        <v>80</v>
      </c>
      <c r="B57" s="1" t="s">
        <v>79</v>
      </c>
      <c r="C57" s="29" t="s">
        <v>6</v>
      </c>
      <c r="D57" s="10">
        <f t="shared" si="16"/>
        <v>122000</v>
      </c>
      <c r="E57" s="31">
        <f>120000+2000</f>
        <v>122000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</row>
    <row r="58" spans="1:10" ht="38.85" customHeight="1" x14ac:dyDescent="0.25">
      <c r="A58" s="123" t="s">
        <v>83</v>
      </c>
      <c r="B58" s="126" t="s">
        <v>79</v>
      </c>
      <c r="C58" s="68" t="s">
        <v>49</v>
      </c>
      <c r="D58" s="10">
        <f t="shared" si="16"/>
        <v>4105869</v>
      </c>
      <c r="E58" s="31">
        <f>E59+E60</f>
        <v>4105869</v>
      </c>
      <c r="F58" s="31">
        <f>F59+F60</f>
        <v>0</v>
      </c>
      <c r="G58" s="31">
        <f t="shared" ref="G58:J58" si="18">G59+G60</f>
        <v>0</v>
      </c>
      <c r="H58" s="31">
        <f t="shared" si="18"/>
        <v>0</v>
      </c>
      <c r="I58" s="31">
        <f t="shared" si="18"/>
        <v>0</v>
      </c>
      <c r="J58" s="31">
        <f t="shared" si="18"/>
        <v>0</v>
      </c>
    </row>
    <row r="59" spans="1:10" ht="38.85" customHeight="1" x14ac:dyDescent="0.25">
      <c r="A59" s="124"/>
      <c r="B59" s="127"/>
      <c r="C59" s="68" t="s">
        <v>6</v>
      </c>
      <c r="D59" s="10">
        <f t="shared" si="16"/>
        <v>533763.1100000001</v>
      </c>
      <c r="E59" s="31">
        <f>643500.17-109737.06</f>
        <v>533763.1100000001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</row>
    <row r="60" spans="1:10" ht="38.85" customHeight="1" x14ac:dyDescent="0.25">
      <c r="A60" s="125"/>
      <c r="B60" s="128"/>
      <c r="C60" s="68" t="s">
        <v>77</v>
      </c>
      <c r="D60" s="10">
        <f t="shared" si="16"/>
        <v>3572105.89</v>
      </c>
      <c r="E60" s="31">
        <f>4306499.83-734393.94</f>
        <v>3572105.89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</row>
    <row r="61" spans="1:10" ht="78" customHeight="1" x14ac:dyDescent="0.25">
      <c r="A61" s="58" t="s">
        <v>82</v>
      </c>
      <c r="B61" s="1" t="s">
        <v>5</v>
      </c>
      <c r="C61" s="29" t="s">
        <v>6</v>
      </c>
      <c r="D61" s="10">
        <f t="shared" si="16"/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</row>
    <row r="62" spans="1:10" ht="97.5" customHeight="1" x14ac:dyDescent="0.25">
      <c r="A62" s="59" t="s">
        <v>121</v>
      </c>
      <c r="B62" s="53" t="s">
        <v>5</v>
      </c>
      <c r="C62" s="29" t="s">
        <v>6</v>
      </c>
      <c r="D62" s="10">
        <f t="shared" si="16"/>
        <v>214840.98</v>
      </c>
      <c r="E62" s="31">
        <v>0</v>
      </c>
      <c r="F62" s="31">
        <f>255403.79-40562.81</f>
        <v>214840.98</v>
      </c>
      <c r="G62" s="31">
        <v>0</v>
      </c>
      <c r="H62" s="31">
        <v>0</v>
      </c>
      <c r="I62" s="31">
        <v>0</v>
      </c>
      <c r="J62" s="31">
        <v>0</v>
      </c>
    </row>
    <row r="63" spans="1:10" ht="78.75" customHeight="1" x14ac:dyDescent="0.25">
      <c r="A63" s="59" t="s">
        <v>108</v>
      </c>
      <c r="B63" s="53" t="s">
        <v>5</v>
      </c>
      <c r="C63" s="29" t="s">
        <v>6</v>
      </c>
      <c r="D63" s="10">
        <f t="shared" si="16"/>
        <v>2096029.26</v>
      </c>
      <c r="E63" s="31">
        <v>0</v>
      </c>
      <c r="F63" s="31">
        <v>0</v>
      </c>
      <c r="G63" s="31">
        <v>1066032</v>
      </c>
      <c r="H63" s="31">
        <v>1029997.26</v>
      </c>
      <c r="I63" s="31">
        <v>0</v>
      </c>
      <c r="J63" s="31">
        <v>0</v>
      </c>
    </row>
    <row r="64" spans="1:10" ht="81" customHeight="1" x14ac:dyDescent="0.25">
      <c r="A64" s="59" t="s">
        <v>110</v>
      </c>
      <c r="B64" s="1" t="s">
        <v>5</v>
      </c>
      <c r="C64" s="1" t="s">
        <v>6</v>
      </c>
      <c r="D64" s="10">
        <f t="shared" si="16"/>
        <v>2323429.8200000003</v>
      </c>
      <c r="E64" s="31">
        <v>0</v>
      </c>
      <c r="F64" s="31">
        <v>0</v>
      </c>
      <c r="G64" s="31">
        <v>526752</v>
      </c>
      <c r="H64" s="31">
        <v>1796677.82</v>
      </c>
      <c r="I64" s="31">
        <v>0</v>
      </c>
      <c r="J64" s="31">
        <v>0</v>
      </c>
    </row>
    <row r="65" spans="1:10" ht="81" customHeight="1" x14ac:dyDescent="0.25">
      <c r="A65" s="59" t="s">
        <v>127</v>
      </c>
      <c r="B65" s="1" t="s">
        <v>5</v>
      </c>
      <c r="C65" s="1" t="s">
        <v>6</v>
      </c>
      <c r="D65" s="10">
        <f t="shared" si="16"/>
        <v>232712.63</v>
      </c>
      <c r="E65" s="31">
        <v>0</v>
      </c>
      <c r="F65" s="31">
        <v>0</v>
      </c>
      <c r="G65" s="31">
        <v>0</v>
      </c>
      <c r="H65" s="31">
        <v>232712.63</v>
      </c>
      <c r="I65" s="31">
        <v>0</v>
      </c>
      <c r="J65" s="31">
        <v>0</v>
      </c>
    </row>
    <row r="66" spans="1:10" ht="76.5" customHeight="1" x14ac:dyDescent="0.25">
      <c r="A66" s="55" t="s">
        <v>13</v>
      </c>
      <c r="B66" s="1" t="s">
        <v>5</v>
      </c>
      <c r="C66" s="1" t="s">
        <v>6</v>
      </c>
      <c r="D66" s="10">
        <f t="shared" si="16"/>
        <v>127274474.62</v>
      </c>
      <c r="E66" s="17">
        <f>SUM(E67:E70)</f>
        <v>14664066.210000001</v>
      </c>
      <c r="F66" s="17">
        <f>SUM(F67:F70)</f>
        <v>18889782.289999999</v>
      </c>
      <c r="G66" s="17">
        <f t="shared" ref="G66:J66" si="19">SUM(G67:G70)</f>
        <v>23582913.380000003</v>
      </c>
      <c r="H66" s="17">
        <f t="shared" si="19"/>
        <v>23520286.779999997</v>
      </c>
      <c r="I66" s="17">
        <f t="shared" si="19"/>
        <v>23308712.98</v>
      </c>
      <c r="J66" s="17">
        <f t="shared" si="19"/>
        <v>23308712.98</v>
      </c>
    </row>
    <row r="67" spans="1:10" ht="76.5" customHeight="1" x14ac:dyDescent="0.25">
      <c r="A67" s="55" t="s">
        <v>28</v>
      </c>
      <c r="B67" s="1" t="s">
        <v>5</v>
      </c>
      <c r="C67" s="1" t="s">
        <v>6</v>
      </c>
      <c r="D67" s="10">
        <f t="shared" si="16"/>
        <v>123919587.81</v>
      </c>
      <c r="E67" s="32">
        <v>13961599.640000001</v>
      </c>
      <c r="F67" s="32">
        <f>15858711.68+2834159.61-848074.53</f>
        <v>17844796.759999998</v>
      </c>
      <c r="G67" s="32">
        <v>22897598.370000001</v>
      </c>
      <c r="H67" s="32">
        <v>23195853.079999998</v>
      </c>
      <c r="I67" s="32">
        <v>23009869.98</v>
      </c>
      <c r="J67" s="32">
        <v>23009869.98</v>
      </c>
    </row>
    <row r="68" spans="1:10" ht="73.5" customHeight="1" x14ac:dyDescent="0.25">
      <c r="A68" s="55" t="s">
        <v>71</v>
      </c>
      <c r="B68" s="1" t="s">
        <v>5</v>
      </c>
      <c r="C68" s="1" t="s">
        <v>6</v>
      </c>
      <c r="D68" s="10">
        <f t="shared" si="16"/>
        <v>1747170</v>
      </c>
      <c r="E68" s="32">
        <f>174486</f>
        <v>174486</v>
      </c>
      <c r="F68" s="32">
        <f>385900-12328</f>
        <v>373572</v>
      </c>
      <c r="G68" s="32">
        <v>286992</v>
      </c>
      <c r="H68" s="32">
        <v>314434</v>
      </c>
      <c r="I68" s="32">
        <v>298843</v>
      </c>
      <c r="J68" s="32">
        <v>298843</v>
      </c>
    </row>
    <row r="69" spans="1:10" ht="90.75" customHeight="1" x14ac:dyDescent="0.25">
      <c r="A69" s="55" t="s">
        <v>100</v>
      </c>
      <c r="B69" s="1" t="s">
        <v>5</v>
      </c>
      <c r="C69" s="1" t="s">
        <v>6</v>
      </c>
      <c r="D69" s="12">
        <f t="shared" si="16"/>
        <v>5600</v>
      </c>
      <c r="E69" s="19">
        <v>0</v>
      </c>
      <c r="F69" s="19">
        <v>5600</v>
      </c>
      <c r="G69" s="19">
        <v>0</v>
      </c>
      <c r="H69" s="19">
        <v>0</v>
      </c>
      <c r="I69" s="19">
        <v>0</v>
      </c>
      <c r="J69" s="19">
        <v>0</v>
      </c>
    </row>
    <row r="70" spans="1:10" ht="96.75" customHeight="1" x14ac:dyDescent="0.25">
      <c r="A70" s="55" t="s">
        <v>36</v>
      </c>
      <c r="B70" s="1" t="s">
        <v>5</v>
      </c>
      <c r="C70" s="1" t="s">
        <v>6</v>
      </c>
      <c r="D70" s="12">
        <f t="shared" si="16"/>
        <v>1602116.81</v>
      </c>
      <c r="E70" s="19">
        <f>452480.57+75500</f>
        <v>527980.57000000007</v>
      </c>
      <c r="F70" s="19">
        <f>145000+557910.85-37097.32</f>
        <v>665813.53</v>
      </c>
      <c r="G70" s="19">
        <v>398323.01</v>
      </c>
      <c r="H70" s="19">
        <v>9999.7000000000007</v>
      </c>
      <c r="I70" s="19">
        <v>0</v>
      </c>
      <c r="J70" s="19">
        <v>0</v>
      </c>
    </row>
    <row r="71" spans="1:10" ht="38.85" customHeight="1" x14ac:dyDescent="0.25">
      <c r="A71" s="111" t="s">
        <v>60</v>
      </c>
      <c r="B71" s="114" t="s">
        <v>75</v>
      </c>
      <c r="C71" s="41" t="s">
        <v>49</v>
      </c>
      <c r="D71" s="52">
        <f>SUM(E71:J71)</f>
        <v>1193105414.3700001</v>
      </c>
      <c r="E71" s="16">
        <f>E72+E73</f>
        <v>143413098.41</v>
      </c>
      <c r="F71" s="16">
        <f t="shared" ref="F71:J71" si="20">F72+F73</f>
        <v>189662549.77000004</v>
      </c>
      <c r="G71" s="16">
        <f t="shared" si="20"/>
        <v>229655560.43000001</v>
      </c>
      <c r="H71" s="16">
        <f t="shared" si="20"/>
        <v>234398757.73999995</v>
      </c>
      <c r="I71" s="16">
        <f t="shared" si="20"/>
        <v>202403224.00999999</v>
      </c>
      <c r="J71" s="16">
        <f t="shared" si="20"/>
        <v>193572224.00999999</v>
      </c>
    </row>
    <row r="72" spans="1:10" ht="38.85" customHeight="1" x14ac:dyDescent="0.25">
      <c r="A72" s="112"/>
      <c r="B72" s="92"/>
      <c r="C72" s="68" t="s">
        <v>6</v>
      </c>
      <c r="D72" s="52">
        <f>SUM(E72:J72)</f>
        <v>1158655485.0699999</v>
      </c>
      <c r="E72" s="16">
        <f>E76+E84+E102+E107+E108+E109+E110+E111+E112+E113+E115+E117+E118+E120+E126</f>
        <v>143413098.41</v>
      </c>
      <c r="F72" s="16">
        <f t="shared" ref="F72:J72" si="21">F76+F84+F102+F107+F108+F109+F110+F111+F112+F113+F115+F117+F118+F120+F126</f>
        <v>182840520.47000003</v>
      </c>
      <c r="G72" s="16">
        <f t="shared" si="21"/>
        <v>225418260.43000001</v>
      </c>
      <c r="H72" s="16">
        <f t="shared" si="21"/>
        <v>234398757.73999995</v>
      </c>
      <c r="I72" s="16">
        <f t="shared" si="21"/>
        <v>190707924.00999999</v>
      </c>
      <c r="J72" s="16">
        <f t="shared" si="21"/>
        <v>181876924.00999999</v>
      </c>
    </row>
    <row r="73" spans="1:10" ht="38.85" customHeight="1" x14ac:dyDescent="0.25">
      <c r="A73" s="113"/>
      <c r="B73" s="93"/>
      <c r="C73" s="68" t="s">
        <v>77</v>
      </c>
      <c r="D73" s="52">
        <f>SUM(E73:J73)</f>
        <v>34449929.299999997</v>
      </c>
      <c r="E73" s="16">
        <f>E116+E121+E122</f>
        <v>0</v>
      </c>
      <c r="F73" s="16">
        <f t="shared" ref="F73:J73" si="22">F116+F121+F122</f>
        <v>6822029.2999999998</v>
      </c>
      <c r="G73" s="16">
        <f t="shared" si="22"/>
        <v>4237300</v>
      </c>
      <c r="H73" s="16">
        <f t="shared" si="22"/>
        <v>0</v>
      </c>
      <c r="I73" s="16">
        <f t="shared" si="22"/>
        <v>11695300</v>
      </c>
      <c r="J73" s="16">
        <f t="shared" si="22"/>
        <v>11695300</v>
      </c>
    </row>
    <row r="74" spans="1:10" ht="82.5" customHeight="1" x14ac:dyDescent="0.25">
      <c r="A74" s="60" t="s">
        <v>29</v>
      </c>
      <c r="B74" s="3" t="s">
        <v>63</v>
      </c>
      <c r="C74" s="1" t="s">
        <v>6</v>
      </c>
      <c r="D74" s="30" t="s">
        <v>7</v>
      </c>
      <c r="E74" s="18" t="s">
        <v>7</v>
      </c>
      <c r="F74" s="18" t="s">
        <v>7</v>
      </c>
      <c r="G74" s="18" t="s">
        <v>7</v>
      </c>
      <c r="H74" s="18" t="s">
        <v>7</v>
      </c>
      <c r="I74" s="18" t="s">
        <v>7</v>
      </c>
      <c r="J74" s="18" t="s">
        <v>7</v>
      </c>
    </row>
    <row r="75" spans="1:10" ht="104.25" customHeight="1" x14ac:dyDescent="0.25">
      <c r="A75" s="61" t="s">
        <v>42</v>
      </c>
      <c r="B75" s="3" t="s">
        <v>44</v>
      </c>
      <c r="C75" s="1" t="s">
        <v>6</v>
      </c>
      <c r="D75" s="30" t="s">
        <v>7</v>
      </c>
      <c r="E75" s="18" t="s">
        <v>7</v>
      </c>
      <c r="F75" s="18" t="s">
        <v>7</v>
      </c>
      <c r="G75" s="18" t="s">
        <v>7</v>
      </c>
      <c r="H75" s="18" t="s">
        <v>7</v>
      </c>
      <c r="I75" s="18" t="s">
        <v>7</v>
      </c>
      <c r="J75" s="18" t="s">
        <v>7</v>
      </c>
    </row>
    <row r="76" spans="1:10" ht="123" customHeight="1" x14ac:dyDescent="0.25">
      <c r="A76" s="62" t="s">
        <v>30</v>
      </c>
      <c r="B76" s="3" t="s">
        <v>45</v>
      </c>
      <c r="C76" s="1" t="s">
        <v>49</v>
      </c>
      <c r="D76" s="13">
        <f>SUM(D77:D82)</f>
        <v>42898148</v>
      </c>
      <c r="E76" s="20">
        <f>SUM(E77:E83)</f>
        <v>5475970</v>
      </c>
      <c r="F76" s="20">
        <f t="shared" ref="F76:J76" si="23">SUM(F77:F83)</f>
        <v>7867873</v>
      </c>
      <c r="G76" s="20">
        <f t="shared" si="23"/>
        <v>20110170</v>
      </c>
      <c r="H76" s="20">
        <f t="shared" si="23"/>
        <v>8947735</v>
      </c>
      <c r="I76" s="20">
        <f t="shared" si="23"/>
        <v>2500000</v>
      </c>
      <c r="J76" s="20">
        <f t="shared" si="23"/>
        <v>2500000</v>
      </c>
    </row>
    <row r="77" spans="1:10" ht="93" customHeight="1" x14ac:dyDescent="0.25">
      <c r="A77" s="61" t="s">
        <v>61</v>
      </c>
      <c r="B77" s="3" t="s">
        <v>45</v>
      </c>
      <c r="C77" s="1" t="s">
        <v>6</v>
      </c>
      <c r="D77" s="11">
        <f>SUM(E77:J77)</f>
        <v>39953148</v>
      </c>
      <c r="E77" s="20">
        <v>3130970</v>
      </c>
      <c r="F77" s="20">
        <f>2525970-299000+3300000+2299000+41903</f>
        <v>7867873</v>
      </c>
      <c r="G77" s="20">
        <v>20110170</v>
      </c>
      <c r="H77" s="20">
        <f>4444135-600000</f>
        <v>3844135</v>
      </c>
      <c r="I77" s="20">
        <v>2500000</v>
      </c>
      <c r="J77" s="20">
        <v>2500000</v>
      </c>
    </row>
    <row r="78" spans="1:10" ht="132.75" customHeight="1" x14ac:dyDescent="0.25">
      <c r="A78" s="62" t="s">
        <v>103</v>
      </c>
      <c r="B78" s="3" t="s">
        <v>62</v>
      </c>
      <c r="C78" s="1" t="s">
        <v>6</v>
      </c>
      <c r="D78" s="13">
        <f t="shared" ref="D78:D100" si="24">SUM(E78:J78)</f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</row>
    <row r="79" spans="1:10" ht="191.25" customHeight="1" x14ac:dyDescent="0.25">
      <c r="A79" s="62" t="s">
        <v>104</v>
      </c>
      <c r="B79" s="3" t="s">
        <v>62</v>
      </c>
      <c r="C79" s="1" t="s">
        <v>6</v>
      </c>
      <c r="D79" s="13">
        <f t="shared" si="24"/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</row>
    <row r="80" spans="1:10" ht="119.25" customHeight="1" x14ac:dyDescent="0.25">
      <c r="A80" s="62" t="s">
        <v>105</v>
      </c>
      <c r="B80" s="3" t="s">
        <v>45</v>
      </c>
      <c r="C80" s="1" t="s">
        <v>6</v>
      </c>
      <c r="D80" s="13">
        <f t="shared" si="24"/>
        <v>600000</v>
      </c>
      <c r="E80" s="20">
        <v>0</v>
      </c>
      <c r="F80" s="20">
        <v>0</v>
      </c>
      <c r="G80" s="20">
        <v>0</v>
      </c>
      <c r="H80" s="20">
        <v>600000</v>
      </c>
      <c r="I80" s="20">
        <v>0</v>
      </c>
      <c r="J80" s="20">
        <v>0</v>
      </c>
    </row>
    <row r="81" spans="1:10" ht="119.25" customHeight="1" x14ac:dyDescent="0.25">
      <c r="A81" s="62" t="s">
        <v>96</v>
      </c>
      <c r="B81" s="3" t="s">
        <v>45</v>
      </c>
      <c r="C81" s="1" t="s">
        <v>6</v>
      </c>
      <c r="D81" s="13">
        <f t="shared" si="24"/>
        <v>95000</v>
      </c>
      <c r="E81" s="20">
        <v>95000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</row>
    <row r="82" spans="1:10" ht="108" customHeight="1" x14ac:dyDescent="0.25">
      <c r="A82" s="61" t="s">
        <v>89</v>
      </c>
      <c r="B82" s="3" t="s">
        <v>45</v>
      </c>
      <c r="C82" s="1" t="s">
        <v>6</v>
      </c>
      <c r="D82" s="13">
        <f t="shared" si="24"/>
        <v>2250000</v>
      </c>
      <c r="E82" s="20">
        <v>2250000</v>
      </c>
      <c r="F82" s="20">
        <f>299000-299000</f>
        <v>0</v>
      </c>
      <c r="G82" s="20">
        <v>0</v>
      </c>
      <c r="H82" s="20">
        <v>0</v>
      </c>
      <c r="I82" s="20">
        <v>0</v>
      </c>
      <c r="J82" s="20">
        <v>0</v>
      </c>
    </row>
    <row r="83" spans="1:10" ht="108" customHeight="1" x14ac:dyDescent="0.25">
      <c r="A83" s="61" t="s">
        <v>128</v>
      </c>
      <c r="B83" s="3" t="s">
        <v>125</v>
      </c>
      <c r="C83" s="1" t="s">
        <v>6</v>
      </c>
      <c r="D83" s="13">
        <f t="shared" si="24"/>
        <v>4503600</v>
      </c>
      <c r="E83" s="20">
        <v>0</v>
      </c>
      <c r="F83" s="20">
        <v>0</v>
      </c>
      <c r="G83" s="20">
        <v>0</v>
      </c>
      <c r="H83" s="20">
        <v>4503600</v>
      </c>
      <c r="I83" s="20">
        <v>0</v>
      </c>
      <c r="J83" s="20">
        <v>0</v>
      </c>
    </row>
    <row r="84" spans="1:10" ht="116.25" customHeight="1" x14ac:dyDescent="0.25">
      <c r="A84" s="84" t="s">
        <v>35</v>
      </c>
      <c r="B84" s="3" t="s">
        <v>33</v>
      </c>
      <c r="C84" s="1" t="s">
        <v>49</v>
      </c>
      <c r="D84" s="12">
        <f t="shared" si="24"/>
        <v>8572778.3200000003</v>
      </c>
      <c r="E84" s="19">
        <f t="shared" ref="E84:J84" si="25">E85+E86+E87</f>
        <v>1914038.92</v>
      </c>
      <c r="F84" s="19">
        <f t="shared" si="25"/>
        <v>1313129.8</v>
      </c>
      <c r="G84" s="19">
        <f t="shared" si="25"/>
        <v>1409509.6</v>
      </c>
      <c r="H84" s="19">
        <f t="shared" si="25"/>
        <v>1346800</v>
      </c>
      <c r="I84" s="19">
        <f t="shared" si="25"/>
        <v>1294650</v>
      </c>
      <c r="J84" s="19">
        <f t="shared" si="25"/>
        <v>1294650</v>
      </c>
    </row>
    <row r="85" spans="1:10" ht="20.100000000000001" customHeight="1" x14ac:dyDescent="0.3">
      <c r="A85" s="85"/>
      <c r="B85" s="2" t="s">
        <v>2</v>
      </c>
      <c r="C85" s="1" t="s">
        <v>6</v>
      </c>
      <c r="D85" s="12">
        <f t="shared" si="24"/>
        <v>7160138.3200000003</v>
      </c>
      <c r="E85" s="19">
        <f>E89+E93+E96+E99+E101</f>
        <v>1629873.92</v>
      </c>
      <c r="F85" s="19">
        <f t="shared" ref="F85:J85" si="26">F89+F93+F96+F99+F101</f>
        <v>1087434.8</v>
      </c>
      <c r="G85" s="19">
        <f t="shared" si="26"/>
        <v>1183814.6000000001</v>
      </c>
      <c r="H85" s="19">
        <f t="shared" si="26"/>
        <v>1121105</v>
      </c>
      <c r="I85" s="19">
        <f t="shared" si="26"/>
        <v>1068955</v>
      </c>
      <c r="J85" s="19">
        <f t="shared" si="26"/>
        <v>1068955</v>
      </c>
    </row>
    <row r="86" spans="1:10" ht="19.5" customHeight="1" x14ac:dyDescent="0.3">
      <c r="A86" s="85"/>
      <c r="B86" s="2" t="s">
        <v>3</v>
      </c>
      <c r="C86" s="1" t="s">
        <v>6</v>
      </c>
      <c r="D86" s="12">
        <f t="shared" si="24"/>
        <v>1346220</v>
      </c>
      <c r="E86" s="19">
        <f>E90+E94+E97+E100</f>
        <v>273095</v>
      </c>
      <c r="F86" s="19">
        <f>F90+F94+F97+F100</f>
        <v>214625</v>
      </c>
      <c r="G86" s="19">
        <f t="shared" ref="G86:J86" si="27">G90+G94+G97+G100</f>
        <v>214625</v>
      </c>
      <c r="H86" s="19">
        <f t="shared" si="27"/>
        <v>214625</v>
      </c>
      <c r="I86" s="19">
        <f t="shared" si="27"/>
        <v>214625</v>
      </c>
      <c r="J86" s="19">
        <f t="shared" si="27"/>
        <v>214625</v>
      </c>
    </row>
    <row r="87" spans="1:10" ht="20.100000000000001" customHeight="1" x14ac:dyDescent="0.25">
      <c r="A87" s="86"/>
      <c r="B87" s="1" t="s">
        <v>4</v>
      </c>
      <c r="C87" s="1" t="s">
        <v>6</v>
      </c>
      <c r="D87" s="12">
        <f t="shared" si="24"/>
        <v>66420</v>
      </c>
      <c r="E87" s="19">
        <f>E91</f>
        <v>11070</v>
      </c>
      <c r="F87" s="19">
        <f>F91</f>
        <v>11070</v>
      </c>
      <c r="G87" s="19">
        <f t="shared" ref="G87:J87" si="28">G91</f>
        <v>11070</v>
      </c>
      <c r="H87" s="54">
        <f t="shared" si="28"/>
        <v>11070</v>
      </c>
      <c r="I87" s="54">
        <f t="shared" si="28"/>
        <v>11070</v>
      </c>
      <c r="J87" s="54">
        <f t="shared" si="28"/>
        <v>11070</v>
      </c>
    </row>
    <row r="88" spans="1:10" ht="111.75" customHeight="1" x14ac:dyDescent="0.25">
      <c r="A88" s="84" t="s">
        <v>16</v>
      </c>
      <c r="B88" s="3" t="s">
        <v>33</v>
      </c>
      <c r="C88" s="1" t="s">
        <v>49</v>
      </c>
      <c r="D88" s="12">
        <f t="shared" si="24"/>
        <v>4129901.1199999996</v>
      </c>
      <c r="E88" s="19">
        <f t="shared" ref="E88:J88" si="29">E89+E90+E91</f>
        <v>1147429.92</v>
      </c>
      <c r="F88" s="19">
        <f t="shared" si="29"/>
        <v>609770</v>
      </c>
      <c r="G88" s="19">
        <f t="shared" si="29"/>
        <v>581070</v>
      </c>
      <c r="H88" s="54">
        <f t="shared" si="29"/>
        <v>597210.4</v>
      </c>
      <c r="I88" s="54">
        <f t="shared" si="29"/>
        <v>597210.4</v>
      </c>
      <c r="J88" s="54">
        <f t="shared" si="29"/>
        <v>597210.4</v>
      </c>
    </row>
    <row r="89" spans="1:10" ht="20.25" customHeight="1" x14ac:dyDescent="0.3">
      <c r="A89" s="85"/>
      <c r="B89" s="2" t="s">
        <v>2</v>
      </c>
      <c r="C89" s="1" t="s">
        <v>6</v>
      </c>
      <c r="D89" s="12">
        <f t="shared" si="24"/>
        <v>3774011.1199999996</v>
      </c>
      <c r="E89" s="19">
        <f>344850+264000+272800+262000-103760.08</f>
        <v>1039889.92</v>
      </c>
      <c r="F89" s="19">
        <f>344850+264000+272800-320950</f>
        <v>560700</v>
      </c>
      <c r="G89" s="19">
        <v>532000</v>
      </c>
      <c r="H89" s="54">
        <v>547140.4</v>
      </c>
      <c r="I89" s="54">
        <v>547140.4</v>
      </c>
      <c r="J89" s="54">
        <v>547140.4</v>
      </c>
    </row>
    <row r="90" spans="1:10" ht="20.25" customHeight="1" x14ac:dyDescent="0.3">
      <c r="A90" s="85"/>
      <c r="B90" s="2" t="s">
        <v>3</v>
      </c>
      <c r="C90" s="1" t="s">
        <v>6</v>
      </c>
      <c r="D90" s="12">
        <f t="shared" si="24"/>
        <v>289470</v>
      </c>
      <c r="E90" s="19">
        <v>96470</v>
      </c>
      <c r="F90" s="19">
        <f>96470-58470</f>
        <v>38000</v>
      </c>
      <c r="G90" s="19">
        <f>38000</f>
        <v>38000</v>
      </c>
      <c r="H90" s="54">
        <v>39000</v>
      </c>
      <c r="I90" s="54">
        <v>39000</v>
      </c>
      <c r="J90" s="54">
        <v>39000</v>
      </c>
    </row>
    <row r="91" spans="1:10" ht="20.25" customHeight="1" x14ac:dyDescent="0.25">
      <c r="A91" s="86"/>
      <c r="B91" s="1" t="s">
        <v>4</v>
      </c>
      <c r="C91" s="1" t="s">
        <v>6</v>
      </c>
      <c r="D91" s="12">
        <f t="shared" si="24"/>
        <v>66420</v>
      </c>
      <c r="E91" s="19">
        <v>11070</v>
      </c>
      <c r="F91" s="19">
        <v>11070</v>
      </c>
      <c r="G91" s="19">
        <v>11070</v>
      </c>
      <c r="H91" s="19">
        <v>11070</v>
      </c>
      <c r="I91" s="19">
        <v>11070</v>
      </c>
      <c r="J91" s="19">
        <v>11070</v>
      </c>
    </row>
    <row r="92" spans="1:10" ht="81" customHeight="1" x14ac:dyDescent="0.25">
      <c r="A92" s="84" t="s">
        <v>15</v>
      </c>
      <c r="B92" s="3" t="s">
        <v>122</v>
      </c>
      <c r="C92" s="1" t="s">
        <v>49</v>
      </c>
      <c r="D92" s="12">
        <f t="shared" si="24"/>
        <v>1018571.46</v>
      </c>
      <c r="E92" s="19">
        <f>E93+E94</f>
        <v>169559</v>
      </c>
      <c r="F92" s="19">
        <f>F93+F94</f>
        <v>160079.79999999999</v>
      </c>
      <c r="G92" s="19">
        <f t="shared" ref="G92:J92" si="30">G93+G94</f>
        <v>155159.6</v>
      </c>
      <c r="H92" s="19">
        <f t="shared" si="30"/>
        <v>223453.86</v>
      </c>
      <c r="I92" s="19">
        <f t="shared" si="30"/>
        <v>155159.6</v>
      </c>
      <c r="J92" s="19">
        <f t="shared" si="30"/>
        <v>155159.6</v>
      </c>
    </row>
    <row r="93" spans="1:10" ht="20.25" customHeight="1" x14ac:dyDescent="0.3">
      <c r="A93" s="85"/>
      <c r="B93" s="2" t="s">
        <v>2</v>
      </c>
      <c r="C93" s="1" t="s">
        <v>6</v>
      </c>
      <c r="D93" s="12">
        <f t="shared" si="24"/>
        <v>810821.46</v>
      </c>
      <c r="E93" s="19">
        <f>84534.6+50399.4</f>
        <v>134934</v>
      </c>
      <c r="F93" s="19">
        <f>84534.6+40920.2</f>
        <v>125454.8</v>
      </c>
      <c r="G93" s="19">
        <f>84534.6+36000</f>
        <v>120534.6</v>
      </c>
      <c r="H93" s="19">
        <v>188828.86</v>
      </c>
      <c r="I93" s="19">
        <f t="shared" ref="I93:J93" si="31">84534.6+36000</f>
        <v>120534.6</v>
      </c>
      <c r="J93" s="19">
        <f t="shared" si="31"/>
        <v>120534.6</v>
      </c>
    </row>
    <row r="94" spans="1:10" ht="20.25" customHeight="1" x14ac:dyDescent="0.3">
      <c r="A94" s="86"/>
      <c r="B94" s="2" t="s">
        <v>3</v>
      </c>
      <c r="C94" s="1" t="s">
        <v>6</v>
      </c>
      <c r="D94" s="12">
        <f t="shared" si="24"/>
        <v>207750</v>
      </c>
      <c r="E94" s="19">
        <v>34625</v>
      </c>
      <c r="F94" s="19">
        <v>34625</v>
      </c>
      <c r="G94" s="19">
        <v>34625</v>
      </c>
      <c r="H94" s="19">
        <v>34625</v>
      </c>
      <c r="I94" s="19">
        <v>34625</v>
      </c>
      <c r="J94" s="19">
        <v>34625</v>
      </c>
    </row>
    <row r="95" spans="1:10" ht="81.75" customHeight="1" x14ac:dyDescent="0.25">
      <c r="A95" s="84" t="s">
        <v>17</v>
      </c>
      <c r="B95" s="3" t="s">
        <v>123</v>
      </c>
      <c r="C95" s="1" t="s">
        <v>49</v>
      </c>
      <c r="D95" s="12">
        <f t="shared" si="24"/>
        <v>3112600</v>
      </c>
      <c r="E95" s="19">
        <f>E96+E97</f>
        <v>567050</v>
      </c>
      <c r="F95" s="19">
        <f>F96+F97</f>
        <v>513280</v>
      </c>
      <c r="G95" s="19">
        <f t="shared" ref="G95:J95" si="32">G96+G97</f>
        <v>513280</v>
      </c>
      <c r="H95" s="19">
        <f t="shared" si="32"/>
        <v>494430</v>
      </c>
      <c r="I95" s="19">
        <f t="shared" si="32"/>
        <v>512280</v>
      </c>
      <c r="J95" s="19">
        <f t="shared" si="32"/>
        <v>512280</v>
      </c>
    </row>
    <row r="96" spans="1:10" ht="20.25" customHeight="1" x14ac:dyDescent="0.3">
      <c r="A96" s="85"/>
      <c r="B96" s="2" t="s">
        <v>2</v>
      </c>
      <c r="C96" s="1" t="s">
        <v>6</v>
      </c>
      <c r="D96" s="12">
        <f t="shared" si="24"/>
        <v>2299600</v>
      </c>
      <c r="E96" s="19">
        <f>377280+53770</f>
        <v>431050</v>
      </c>
      <c r="F96" s="19">
        <v>377280</v>
      </c>
      <c r="G96" s="19">
        <v>377280</v>
      </c>
      <c r="H96" s="19">
        <v>359430</v>
      </c>
      <c r="I96" s="19">
        <v>377280</v>
      </c>
      <c r="J96" s="19">
        <v>377280</v>
      </c>
    </row>
    <row r="97" spans="1:10" ht="20.25" customHeight="1" x14ac:dyDescent="0.3">
      <c r="A97" s="86"/>
      <c r="B97" s="2" t="s">
        <v>3</v>
      </c>
      <c r="C97" s="1" t="s">
        <v>6</v>
      </c>
      <c r="D97" s="12">
        <f t="shared" si="24"/>
        <v>813000</v>
      </c>
      <c r="E97" s="19">
        <v>136000</v>
      </c>
      <c r="F97" s="19">
        <v>136000</v>
      </c>
      <c r="G97" s="19">
        <v>136000</v>
      </c>
      <c r="H97" s="19">
        <v>135000</v>
      </c>
      <c r="I97" s="19">
        <v>135000</v>
      </c>
      <c r="J97" s="19">
        <v>135000</v>
      </c>
    </row>
    <row r="98" spans="1:10" ht="81" customHeight="1" x14ac:dyDescent="0.25">
      <c r="A98" s="102" t="s">
        <v>18</v>
      </c>
      <c r="B98" s="3" t="s">
        <v>124</v>
      </c>
      <c r="C98" s="1" t="s">
        <v>49</v>
      </c>
      <c r="D98" s="12">
        <f t="shared" si="24"/>
        <v>180000</v>
      </c>
      <c r="E98" s="19">
        <f>E99+E100</f>
        <v>30000</v>
      </c>
      <c r="F98" s="19">
        <f>F99+F100</f>
        <v>30000</v>
      </c>
      <c r="G98" s="19">
        <f t="shared" ref="G98:J98" si="33">G99+G100</f>
        <v>30000</v>
      </c>
      <c r="H98" s="19">
        <f t="shared" si="33"/>
        <v>30000</v>
      </c>
      <c r="I98" s="19">
        <f t="shared" si="33"/>
        <v>30000</v>
      </c>
      <c r="J98" s="19">
        <f t="shared" si="33"/>
        <v>30000</v>
      </c>
    </row>
    <row r="99" spans="1:10" ht="20.25" customHeight="1" x14ac:dyDescent="0.3">
      <c r="A99" s="103"/>
      <c r="B99" s="2" t="s">
        <v>2</v>
      </c>
      <c r="C99" s="1" t="s">
        <v>6</v>
      </c>
      <c r="D99" s="12">
        <f t="shared" si="24"/>
        <v>144000</v>
      </c>
      <c r="E99" s="19">
        <v>24000</v>
      </c>
      <c r="F99" s="19">
        <v>24000</v>
      </c>
      <c r="G99" s="19">
        <v>24000</v>
      </c>
      <c r="H99" s="19">
        <v>24000</v>
      </c>
      <c r="I99" s="19">
        <v>24000</v>
      </c>
      <c r="J99" s="19">
        <v>24000</v>
      </c>
    </row>
    <row r="100" spans="1:10" ht="20.25" customHeight="1" x14ac:dyDescent="0.3">
      <c r="A100" s="104"/>
      <c r="B100" s="2" t="s">
        <v>3</v>
      </c>
      <c r="C100" s="1" t="s">
        <v>6</v>
      </c>
      <c r="D100" s="12">
        <f t="shared" si="24"/>
        <v>36000</v>
      </c>
      <c r="E100" s="19">
        <v>6000</v>
      </c>
      <c r="F100" s="19">
        <v>6000</v>
      </c>
      <c r="G100" s="19">
        <v>6000</v>
      </c>
      <c r="H100" s="19">
        <v>6000</v>
      </c>
      <c r="I100" s="19">
        <v>6000</v>
      </c>
      <c r="J100" s="19">
        <v>6000</v>
      </c>
    </row>
    <row r="101" spans="1:10" ht="63.75" customHeight="1" x14ac:dyDescent="0.25">
      <c r="A101" s="65" t="s">
        <v>109</v>
      </c>
      <c r="B101" s="3" t="s">
        <v>14</v>
      </c>
      <c r="C101" s="1" t="s">
        <v>6</v>
      </c>
      <c r="D101" s="12">
        <f t="shared" ref="D101:D109" si="34">SUM(E101:J101)</f>
        <v>131705.74</v>
      </c>
      <c r="E101" s="19">
        <v>0</v>
      </c>
      <c r="F101" s="19">
        <v>0</v>
      </c>
      <c r="G101" s="19">
        <v>130000</v>
      </c>
      <c r="H101" s="19">
        <v>1705.74</v>
      </c>
      <c r="I101" s="19">
        <v>0</v>
      </c>
      <c r="J101" s="19">
        <v>0</v>
      </c>
    </row>
    <row r="102" spans="1:10" ht="63" customHeight="1" x14ac:dyDescent="0.25">
      <c r="A102" s="63" t="s">
        <v>19</v>
      </c>
      <c r="B102" s="3" t="s">
        <v>14</v>
      </c>
      <c r="C102" s="1" t="s">
        <v>6</v>
      </c>
      <c r="D102" s="12">
        <f t="shared" si="34"/>
        <v>723034932.04999995</v>
      </c>
      <c r="E102" s="19">
        <f>E103+E104+E105+E106</f>
        <v>134831689.49000001</v>
      </c>
      <c r="F102" s="19">
        <f>F103+F104+F105+F106</f>
        <v>105971077.68000001</v>
      </c>
      <c r="G102" s="19">
        <f t="shared" ref="G102:J102" si="35">G103+G104+G105+G106</f>
        <v>135235419.96000001</v>
      </c>
      <c r="H102" s="19">
        <f t="shared" si="35"/>
        <v>132758702.2</v>
      </c>
      <c r="I102" s="19">
        <f t="shared" si="35"/>
        <v>111534521.36</v>
      </c>
      <c r="J102" s="19">
        <f t="shared" si="35"/>
        <v>102703521.36</v>
      </c>
    </row>
    <row r="103" spans="1:10" ht="61.5" customHeight="1" x14ac:dyDescent="0.25">
      <c r="A103" s="63" t="s">
        <v>20</v>
      </c>
      <c r="B103" s="3" t="s">
        <v>14</v>
      </c>
      <c r="C103" s="1" t="s">
        <v>6</v>
      </c>
      <c r="D103" s="12">
        <f t="shared" si="34"/>
        <v>647963274.77999997</v>
      </c>
      <c r="E103" s="19">
        <v>84127595.180000007</v>
      </c>
      <c r="F103" s="19">
        <f>91484403.1+7727610.7+63921-21020-500000-826410+256000+3109489.9</f>
        <v>101293994.7</v>
      </c>
      <c r="G103" s="19">
        <v>128297601.39</v>
      </c>
      <c r="H103" s="19">
        <f>111787781.73+16730700</f>
        <v>128518481.73</v>
      </c>
      <c r="I103" s="19">
        <v>107278300.89</v>
      </c>
      <c r="J103" s="19">
        <v>98447300.890000001</v>
      </c>
    </row>
    <row r="104" spans="1:10" ht="80.25" customHeight="1" x14ac:dyDescent="0.25">
      <c r="A104" s="63" t="s">
        <v>41</v>
      </c>
      <c r="B104" s="1" t="s">
        <v>8</v>
      </c>
      <c r="C104" s="1" t="s">
        <v>6</v>
      </c>
      <c r="D104" s="12">
        <f t="shared" si="34"/>
        <v>27248847.640000001</v>
      </c>
      <c r="E104" s="19">
        <v>3031329.09</v>
      </c>
      <c r="F104" s="19">
        <f>3231816.41+16000-264000-223278+856546+72404+80000-78193+70435.51+500000+382887.06</f>
        <v>4644617.9799999995</v>
      </c>
      <c r="G104" s="19">
        <v>6909141.5700000003</v>
      </c>
      <c r="H104" s="19">
        <v>4211253</v>
      </c>
      <c r="I104" s="19">
        <v>4226253</v>
      </c>
      <c r="J104" s="19">
        <v>4226253</v>
      </c>
    </row>
    <row r="105" spans="1:10" ht="81.75" customHeight="1" x14ac:dyDescent="0.25">
      <c r="A105" s="64" t="s">
        <v>40</v>
      </c>
      <c r="B105" s="3" t="s">
        <v>75</v>
      </c>
      <c r="C105" s="1" t="s">
        <v>6</v>
      </c>
      <c r="D105" s="12">
        <f t="shared" si="34"/>
        <v>186171.41</v>
      </c>
      <c r="E105" s="19">
        <f>40097-3970</f>
        <v>36127</v>
      </c>
      <c r="F105" s="19">
        <f>40097-3970-3662</f>
        <v>32465</v>
      </c>
      <c r="G105" s="19">
        <v>28677</v>
      </c>
      <c r="H105" s="19">
        <f>29967.47-1000</f>
        <v>28967.47</v>
      </c>
      <c r="I105" s="19">
        <v>29967.47</v>
      </c>
      <c r="J105" s="19">
        <v>29967.47</v>
      </c>
    </row>
    <row r="106" spans="1:10" ht="66.75" customHeight="1" x14ac:dyDescent="0.25">
      <c r="A106" s="64" t="s">
        <v>38</v>
      </c>
      <c r="B106" s="1" t="s">
        <v>39</v>
      </c>
      <c r="C106" s="1" t="s">
        <v>6</v>
      </c>
      <c r="D106" s="12">
        <f t="shared" si="34"/>
        <v>47636638.219999999</v>
      </c>
      <c r="E106" s="19">
        <v>47636638.219999999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</row>
    <row r="107" spans="1:10" ht="61.5" customHeight="1" x14ac:dyDescent="0.25">
      <c r="A107" s="63" t="s">
        <v>21</v>
      </c>
      <c r="B107" s="1" t="s">
        <v>14</v>
      </c>
      <c r="C107" s="1" t="s">
        <v>6</v>
      </c>
      <c r="D107" s="12">
        <f t="shared" si="34"/>
        <v>14264077.43</v>
      </c>
      <c r="E107" s="19">
        <f>1000000-750000</f>
        <v>250000</v>
      </c>
      <c r="F107" s="19">
        <f>1000000-750000+328247.67+64800</f>
        <v>643047.66999999993</v>
      </c>
      <c r="G107" s="19">
        <v>850000</v>
      </c>
      <c r="H107" s="19">
        <v>11521029.76</v>
      </c>
      <c r="I107" s="19">
        <v>500000</v>
      </c>
      <c r="J107" s="19">
        <v>500000</v>
      </c>
    </row>
    <row r="108" spans="1:10" ht="79.5" customHeight="1" x14ac:dyDescent="0.25">
      <c r="A108" s="63" t="s">
        <v>22</v>
      </c>
      <c r="B108" s="1" t="s">
        <v>14</v>
      </c>
      <c r="C108" s="1" t="s">
        <v>6</v>
      </c>
      <c r="D108" s="12">
        <f t="shared" si="34"/>
        <v>441400</v>
      </c>
      <c r="E108" s="19">
        <v>41400</v>
      </c>
      <c r="F108" s="19">
        <f>200000-200000</f>
        <v>0</v>
      </c>
      <c r="G108" s="19">
        <v>0</v>
      </c>
      <c r="H108" s="19">
        <v>0</v>
      </c>
      <c r="I108" s="19">
        <v>200000</v>
      </c>
      <c r="J108" s="19">
        <v>200000</v>
      </c>
    </row>
    <row r="109" spans="1:10" ht="61.5" customHeight="1" x14ac:dyDescent="0.25">
      <c r="A109" s="63" t="s">
        <v>50</v>
      </c>
      <c r="B109" s="1" t="s">
        <v>72</v>
      </c>
      <c r="C109" s="1" t="s">
        <v>6</v>
      </c>
      <c r="D109" s="12">
        <f t="shared" si="34"/>
        <v>811136</v>
      </c>
      <c r="E109" s="19">
        <v>400000</v>
      </c>
      <c r="F109" s="19">
        <f>400000-388864</f>
        <v>11136</v>
      </c>
      <c r="G109" s="19">
        <v>400000</v>
      </c>
      <c r="H109" s="19">
        <v>0</v>
      </c>
      <c r="I109" s="19">
        <v>0</v>
      </c>
      <c r="J109" s="19">
        <v>0</v>
      </c>
    </row>
    <row r="110" spans="1:10" ht="117" customHeight="1" x14ac:dyDescent="0.25">
      <c r="A110" s="63" t="s">
        <v>76</v>
      </c>
      <c r="B110" s="3" t="s">
        <v>75</v>
      </c>
      <c r="C110" s="1" t="s">
        <v>6</v>
      </c>
      <c r="D110" s="12">
        <f t="shared" ref="D110" si="36">SUM(E110:J110)</f>
        <v>1461178.17</v>
      </c>
      <c r="E110" s="19">
        <v>500000</v>
      </c>
      <c r="F110" s="19">
        <f>500000+500000-38821.83</f>
        <v>961178.17</v>
      </c>
      <c r="G110" s="19">
        <v>0</v>
      </c>
      <c r="H110" s="19">
        <v>0</v>
      </c>
      <c r="I110" s="19">
        <v>0</v>
      </c>
      <c r="J110" s="19">
        <v>0</v>
      </c>
    </row>
    <row r="111" spans="1:10" ht="83.25" customHeight="1" x14ac:dyDescent="0.25">
      <c r="A111" s="63" t="s">
        <v>106</v>
      </c>
      <c r="B111" s="3" t="s">
        <v>75</v>
      </c>
      <c r="C111" s="1" t="s">
        <v>6</v>
      </c>
      <c r="D111" s="12">
        <f t="shared" ref="D111" si="37">SUM(E111:J111)</f>
        <v>91867.390000000014</v>
      </c>
      <c r="E111" s="19">
        <v>0</v>
      </c>
      <c r="F111" s="19">
        <v>0</v>
      </c>
      <c r="G111" s="19">
        <v>0</v>
      </c>
      <c r="H111" s="19">
        <f>291867.39-200000</f>
        <v>91867.390000000014</v>
      </c>
      <c r="I111" s="19">
        <v>0</v>
      </c>
      <c r="J111" s="19">
        <v>0</v>
      </c>
    </row>
    <row r="112" spans="1:10" ht="63" customHeight="1" x14ac:dyDescent="0.25">
      <c r="A112" s="65" t="s">
        <v>92</v>
      </c>
      <c r="B112" s="71" t="s">
        <v>90</v>
      </c>
      <c r="C112" s="68" t="s">
        <v>6</v>
      </c>
      <c r="D112" s="12">
        <f>SUM(E112:J112)</f>
        <v>81051137.049999997</v>
      </c>
      <c r="E112" s="49">
        <v>0</v>
      </c>
      <c r="F112" s="19">
        <f>14783926.1-257109.98+212100</f>
        <v>14738916.119999999</v>
      </c>
      <c r="G112" s="19">
        <v>16707393.710000001</v>
      </c>
      <c r="H112" s="19">
        <v>16954374.100000001</v>
      </c>
      <c r="I112" s="19">
        <v>16325226.560000001</v>
      </c>
      <c r="J112" s="19">
        <v>16325226.560000001</v>
      </c>
    </row>
    <row r="113" spans="1:493" ht="66.75" customHeight="1" x14ac:dyDescent="0.25">
      <c r="A113" s="63" t="s">
        <v>91</v>
      </c>
      <c r="B113" s="3" t="s">
        <v>39</v>
      </c>
      <c r="C113" s="1" t="s">
        <v>6</v>
      </c>
      <c r="D113" s="12">
        <f t="shared" ref="D113:D116" si="38">SUM(E113:J113)</f>
        <v>273621766.26999998</v>
      </c>
      <c r="E113" s="19">
        <v>0</v>
      </c>
      <c r="F113" s="19">
        <f>48986954.7+80850+4995-300000</f>
        <v>48772799.700000003</v>
      </c>
      <c r="G113" s="19">
        <v>50705767.159999996</v>
      </c>
      <c r="H113" s="19">
        <v>59436147.229999997</v>
      </c>
      <c r="I113" s="19">
        <v>57353526.090000004</v>
      </c>
      <c r="J113" s="19">
        <v>57353526.090000004</v>
      </c>
    </row>
    <row r="114" spans="1:493" ht="38.85" customHeight="1" x14ac:dyDescent="0.25">
      <c r="A114" s="102" t="s">
        <v>93</v>
      </c>
      <c r="B114" s="117" t="s">
        <v>14</v>
      </c>
      <c r="C114" s="1" t="s">
        <v>49</v>
      </c>
      <c r="D114" s="40">
        <f t="shared" si="38"/>
        <v>25390600</v>
      </c>
      <c r="E114" s="19">
        <f>E115+E116</f>
        <v>0</v>
      </c>
      <c r="F114" s="19">
        <f t="shared" ref="F114:J114" si="39">F115+F116</f>
        <v>0</v>
      </c>
      <c r="G114" s="19">
        <f t="shared" si="39"/>
        <v>0</v>
      </c>
      <c r="H114" s="19">
        <f t="shared" si="39"/>
        <v>0</v>
      </c>
      <c r="I114" s="19">
        <f t="shared" si="39"/>
        <v>12695300</v>
      </c>
      <c r="J114" s="19">
        <f t="shared" si="39"/>
        <v>12695300</v>
      </c>
    </row>
    <row r="115" spans="1:493" ht="38.85" customHeight="1" x14ac:dyDescent="0.25">
      <c r="A115" s="103"/>
      <c r="B115" s="118"/>
      <c r="C115" s="68" t="s">
        <v>6</v>
      </c>
      <c r="D115" s="12">
        <f t="shared" si="38"/>
        <v>2000000</v>
      </c>
      <c r="E115" s="19">
        <v>0</v>
      </c>
      <c r="F115" s="19">
        <v>0</v>
      </c>
      <c r="G115" s="19">
        <v>0</v>
      </c>
      <c r="H115" s="19">
        <v>0</v>
      </c>
      <c r="I115" s="19">
        <v>1000000</v>
      </c>
      <c r="J115" s="19">
        <v>1000000</v>
      </c>
    </row>
    <row r="116" spans="1:493" ht="38.85" customHeight="1" x14ac:dyDescent="0.25">
      <c r="A116" s="104"/>
      <c r="B116" s="119"/>
      <c r="C116" s="68" t="s">
        <v>77</v>
      </c>
      <c r="D116" s="12">
        <f t="shared" si="38"/>
        <v>23390600</v>
      </c>
      <c r="E116" s="19">
        <v>0</v>
      </c>
      <c r="F116" s="19">
        <v>0</v>
      </c>
      <c r="G116" s="19">
        <v>0</v>
      </c>
      <c r="H116" s="19">
        <v>0</v>
      </c>
      <c r="I116" s="19">
        <v>11695300</v>
      </c>
      <c r="J116" s="19">
        <v>11695300</v>
      </c>
    </row>
    <row r="117" spans="1:493" ht="58.5" customHeight="1" x14ac:dyDescent="0.25">
      <c r="A117" s="65" t="s">
        <v>99</v>
      </c>
      <c r="B117" s="68" t="s">
        <v>72</v>
      </c>
      <c r="C117" s="68" t="s">
        <v>6</v>
      </c>
      <c r="D117" s="40">
        <f>SUM(E117:J117)</f>
        <v>36000</v>
      </c>
      <c r="E117" s="49">
        <v>0</v>
      </c>
      <c r="F117" s="49">
        <v>36000</v>
      </c>
      <c r="G117" s="49">
        <v>0</v>
      </c>
      <c r="H117" s="49">
        <v>0</v>
      </c>
      <c r="I117" s="49">
        <v>0</v>
      </c>
      <c r="J117" s="49">
        <v>0</v>
      </c>
    </row>
    <row r="118" spans="1:493" ht="116.25" customHeight="1" x14ac:dyDescent="0.25">
      <c r="A118" s="63" t="s">
        <v>98</v>
      </c>
      <c r="B118" s="3" t="s">
        <v>75</v>
      </c>
      <c r="C118" s="1" t="s">
        <v>6</v>
      </c>
      <c r="D118" s="12">
        <f>SUM(E118:J118)</f>
        <v>2000000</v>
      </c>
      <c r="E118" s="49">
        <v>0</v>
      </c>
      <c r="F118" s="19">
        <v>2000000</v>
      </c>
      <c r="G118" s="19">
        <v>0</v>
      </c>
      <c r="H118" s="19">
        <v>0</v>
      </c>
      <c r="I118" s="19">
        <v>0</v>
      </c>
      <c r="J118" s="19">
        <v>0</v>
      </c>
    </row>
    <row r="119" spans="1:493" ht="60" customHeight="1" x14ac:dyDescent="0.25">
      <c r="A119" s="102" t="s">
        <v>101</v>
      </c>
      <c r="B119" s="117" t="s">
        <v>14</v>
      </c>
      <c r="C119" s="68" t="s">
        <v>49</v>
      </c>
      <c r="D119" s="40">
        <f t="shared" ref="D119:D121" si="40">SUM(E119:J119)</f>
        <v>7347391.6299999999</v>
      </c>
      <c r="E119" s="19">
        <f>E120+E121</f>
        <v>0</v>
      </c>
      <c r="F119" s="19">
        <f t="shared" ref="F119:J119" si="41">F120+F121</f>
        <v>7347391.6299999999</v>
      </c>
      <c r="G119" s="19">
        <f t="shared" si="41"/>
        <v>0</v>
      </c>
      <c r="H119" s="19">
        <f t="shared" si="41"/>
        <v>0</v>
      </c>
      <c r="I119" s="19">
        <f t="shared" si="41"/>
        <v>0</v>
      </c>
      <c r="J119" s="19">
        <f t="shared" si="41"/>
        <v>0</v>
      </c>
    </row>
    <row r="120" spans="1:493" ht="60" customHeight="1" x14ac:dyDescent="0.25">
      <c r="A120" s="103"/>
      <c r="B120" s="118"/>
      <c r="C120" s="68" t="s">
        <v>6</v>
      </c>
      <c r="D120" s="12">
        <f t="shared" si="40"/>
        <v>525362.32999999996</v>
      </c>
      <c r="E120" s="49">
        <v>0</v>
      </c>
      <c r="F120" s="19">
        <f>300000+225362.33</f>
        <v>525362.32999999996</v>
      </c>
      <c r="G120" s="19">
        <v>0</v>
      </c>
      <c r="H120" s="19">
        <v>0</v>
      </c>
      <c r="I120" s="19">
        <v>0</v>
      </c>
      <c r="J120" s="19">
        <v>0</v>
      </c>
    </row>
    <row r="121" spans="1:493" ht="51" customHeight="1" x14ac:dyDescent="0.25">
      <c r="A121" s="104"/>
      <c r="B121" s="119"/>
      <c r="C121" s="68" t="s">
        <v>77</v>
      </c>
      <c r="D121" s="12">
        <f t="shared" si="40"/>
        <v>6822029.2999999998</v>
      </c>
      <c r="E121" s="49">
        <v>0</v>
      </c>
      <c r="F121" s="19">
        <v>6822029.2999999998</v>
      </c>
      <c r="G121" s="19">
        <v>0</v>
      </c>
      <c r="H121" s="19">
        <v>0</v>
      </c>
      <c r="I121" s="19">
        <v>0</v>
      </c>
      <c r="J121" s="19">
        <v>0</v>
      </c>
    </row>
    <row r="122" spans="1:493" ht="184.5" customHeight="1" x14ac:dyDescent="0.25">
      <c r="A122" s="121" t="s">
        <v>118</v>
      </c>
      <c r="B122" s="77" t="s">
        <v>116</v>
      </c>
      <c r="C122" s="76" t="s">
        <v>77</v>
      </c>
      <c r="D122" s="19">
        <f>D123+D124+D125</f>
        <v>4237300</v>
      </c>
      <c r="E122" s="19">
        <f>E123+E124+E125</f>
        <v>0</v>
      </c>
      <c r="F122" s="19">
        <f t="shared" ref="F122:J122" si="42">F123+F124+F125</f>
        <v>0</v>
      </c>
      <c r="G122" s="19">
        <f t="shared" si="42"/>
        <v>4237300</v>
      </c>
      <c r="H122" s="19">
        <f t="shared" si="42"/>
        <v>0</v>
      </c>
      <c r="I122" s="19">
        <f t="shared" si="42"/>
        <v>0</v>
      </c>
      <c r="J122" s="19">
        <f t="shared" si="42"/>
        <v>0</v>
      </c>
    </row>
    <row r="123" spans="1:493" ht="42.75" customHeight="1" x14ac:dyDescent="0.25">
      <c r="A123" s="121"/>
      <c r="B123" s="77" t="s">
        <v>14</v>
      </c>
      <c r="C123" s="76" t="s">
        <v>77</v>
      </c>
      <c r="D123" s="19">
        <f>E123+F123+G123+H123+I123+J123</f>
        <v>3069154.04</v>
      </c>
      <c r="E123" s="19">
        <v>0</v>
      </c>
      <c r="F123" s="19">
        <v>0</v>
      </c>
      <c r="G123" s="19">
        <v>3069154.04</v>
      </c>
      <c r="H123" s="19">
        <v>0</v>
      </c>
      <c r="I123" s="19">
        <v>0</v>
      </c>
      <c r="J123" s="19">
        <v>0</v>
      </c>
    </row>
    <row r="124" spans="1:493" ht="91.5" customHeight="1" x14ac:dyDescent="0.25">
      <c r="A124" s="121"/>
      <c r="B124" s="77" t="s">
        <v>119</v>
      </c>
      <c r="C124" s="76" t="s">
        <v>77</v>
      </c>
      <c r="D124" s="19">
        <f t="shared" ref="D124" si="43">E124+F124+G124+H124+I124+J124</f>
        <v>585315.48</v>
      </c>
      <c r="E124" s="19">
        <v>0</v>
      </c>
      <c r="F124" s="19">
        <v>0</v>
      </c>
      <c r="G124" s="19">
        <v>585315.48</v>
      </c>
      <c r="H124" s="19">
        <v>0</v>
      </c>
      <c r="I124" s="19">
        <v>0</v>
      </c>
      <c r="J124" s="19">
        <v>0</v>
      </c>
    </row>
    <row r="125" spans="1:493" ht="53.25" customHeight="1" x14ac:dyDescent="0.25">
      <c r="A125" s="121"/>
      <c r="B125" s="77" t="s">
        <v>117</v>
      </c>
      <c r="C125" s="76" t="s">
        <v>77</v>
      </c>
      <c r="D125" s="19">
        <f>E125+F125+G125+H125+I125+J125</f>
        <v>582830.48</v>
      </c>
      <c r="E125" s="19">
        <v>0</v>
      </c>
      <c r="F125" s="19">
        <v>0</v>
      </c>
      <c r="G125" s="19">
        <v>582830.48</v>
      </c>
      <c r="H125" s="19">
        <v>0</v>
      </c>
      <c r="I125" s="19">
        <v>0</v>
      </c>
      <c r="J125" s="19">
        <v>0</v>
      </c>
    </row>
    <row r="126" spans="1:493" ht="98.25" customHeight="1" x14ac:dyDescent="0.25">
      <c r="A126" s="80" t="s">
        <v>126</v>
      </c>
      <c r="B126" s="81" t="s">
        <v>125</v>
      </c>
      <c r="C126" s="82" t="s">
        <v>6</v>
      </c>
      <c r="D126" s="54">
        <f>E126+F126+G126+H126+I126+J126</f>
        <v>3342102.06</v>
      </c>
      <c r="E126" s="54">
        <v>0</v>
      </c>
      <c r="F126" s="54">
        <v>0</v>
      </c>
      <c r="G126" s="54">
        <v>0</v>
      </c>
      <c r="H126" s="54">
        <v>3342102.06</v>
      </c>
      <c r="I126" s="54">
        <v>0</v>
      </c>
      <c r="J126" s="83">
        <v>0</v>
      </c>
      <c r="K126" s="78"/>
      <c r="L126" s="78"/>
      <c r="M126" s="78"/>
      <c r="N126" s="78"/>
      <c r="O126" s="78"/>
      <c r="P126" s="78"/>
      <c r="Q126" s="78"/>
      <c r="R126" s="78"/>
      <c r="S126" s="79"/>
      <c r="T126" s="79"/>
      <c r="U126" s="79"/>
      <c r="V126" s="79"/>
      <c r="W126" s="79"/>
      <c r="X126" s="79"/>
      <c r="Y126" s="78"/>
      <c r="Z126" s="78"/>
      <c r="AA126" s="78"/>
      <c r="AB126" s="78"/>
      <c r="AC126" s="78"/>
      <c r="AD126" s="78"/>
      <c r="AE126" s="78"/>
      <c r="AF126" s="78"/>
      <c r="AG126" s="79"/>
      <c r="AH126" s="79"/>
      <c r="AI126" s="79"/>
      <c r="AJ126" s="79"/>
      <c r="AK126" s="79"/>
      <c r="AL126" s="79"/>
      <c r="AM126" s="78"/>
      <c r="AN126" s="78"/>
      <c r="AO126" s="78"/>
      <c r="AP126" s="78"/>
      <c r="AQ126" s="78"/>
      <c r="AR126" s="78"/>
      <c r="AS126" s="78"/>
      <c r="AT126" s="78"/>
      <c r="AU126" s="79"/>
      <c r="AV126" s="79"/>
      <c r="AW126" s="79"/>
      <c r="AX126" s="79"/>
      <c r="AY126" s="79"/>
      <c r="AZ126" s="79"/>
      <c r="BA126" s="78"/>
      <c r="BB126" s="78"/>
      <c r="BC126" s="78"/>
      <c r="BD126" s="78"/>
      <c r="BE126" s="78"/>
      <c r="BF126" s="78"/>
      <c r="BG126" s="78"/>
      <c r="BH126" s="78"/>
      <c r="BI126" s="79"/>
      <c r="BJ126" s="79"/>
      <c r="BK126" s="79"/>
      <c r="BL126" s="79"/>
      <c r="BM126" s="79"/>
      <c r="BN126" s="79"/>
      <c r="BO126" s="78"/>
      <c r="BP126" s="78"/>
      <c r="BQ126" s="78"/>
      <c r="BR126" s="78"/>
      <c r="BS126" s="78"/>
      <c r="BT126" s="78"/>
      <c r="BU126" s="78"/>
      <c r="BV126" s="78"/>
      <c r="BW126" s="79"/>
      <c r="BX126" s="79"/>
      <c r="BY126" s="79"/>
      <c r="BZ126" s="79"/>
      <c r="CA126" s="79"/>
      <c r="CB126" s="79"/>
      <c r="CC126" s="78"/>
      <c r="CD126" s="78"/>
      <c r="CE126" s="78"/>
      <c r="CF126" s="78"/>
      <c r="CG126" s="78"/>
      <c r="CH126" s="78"/>
      <c r="CI126" s="78"/>
      <c r="CJ126" s="78"/>
      <c r="CK126" s="79"/>
      <c r="CL126" s="79"/>
      <c r="CM126" s="79"/>
      <c r="CN126" s="79"/>
      <c r="CO126" s="79"/>
      <c r="CP126" s="79"/>
      <c r="CQ126" s="78"/>
      <c r="CR126" s="78"/>
      <c r="CS126" s="78"/>
      <c r="CT126" s="78"/>
      <c r="CU126" s="78"/>
      <c r="CV126" s="78"/>
      <c r="CW126" s="78"/>
      <c r="CX126" s="78"/>
      <c r="CY126" s="79"/>
      <c r="CZ126" s="79"/>
      <c r="DA126" s="79"/>
      <c r="DB126" s="79"/>
      <c r="DC126" s="79"/>
      <c r="DD126" s="79"/>
      <c r="DE126" s="78"/>
      <c r="DF126" s="78"/>
      <c r="DG126" s="78"/>
      <c r="DH126" s="78"/>
      <c r="DI126" s="78"/>
      <c r="DJ126" s="78"/>
      <c r="DK126" s="78"/>
      <c r="DL126" s="78"/>
      <c r="DM126" s="79"/>
      <c r="DN126" s="79"/>
      <c r="DO126" s="79"/>
      <c r="DP126" s="79"/>
      <c r="DQ126" s="79"/>
      <c r="DR126" s="79"/>
      <c r="DS126" s="78"/>
      <c r="DT126" s="78"/>
      <c r="DU126" s="78"/>
      <c r="DV126" s="78"/>
      <c r="DW126" s="78"/>
      <c r="DX126" s="78"/>
      <c r="DY126" s="78"/>
      <c r="DZ126" s="78"/>
      <c r="EA126" s="79"/>
      <c r="EB126" s="79"/>
      <c r="EC126" s="79"/>
      <c r="ED126" s="79"/>
      <c r="EE126" s="79"/>
      <c r="EF126" s="79"/>
      <c r="EG126" s="78"/>
      <c r="EH126" s="78"/>
      <c r="EI126" s="78"/>
      <c r="EJ126" s="78"/>
      <c r="EK126" s="78"/>
      <c r="EL126" s="78"/>
      <c r="EM126" s="78"/>
      <c r="EN126" s="78"/>
      <c r="EO126" s="79"/>
      <c r="EP126" s="79"/>
      <c r="EQ126" s="79"/>
      <c r="ER126" s="79"/>
      <c r="ES126" s="79"/>
      <c r="ET126" s="79"/>
      <c r="EU126" s="78"/>
      <c r="EV126" s="78"/>
      <c r="EW126" s="78"/>
      <c r="EX126" s="78"/>
      <c r="EY126" s="78"/>
      <c r="EZ126" s="78"/>
      <c r="FA126" s="78"/>
      <c r="FB126" s="78"/>
      <c r="FC126" s="79"/>
      <c r="FD126" s="79"/>
      <c r="FE126" s="79"/>
      <c r="FF126" s="79"/>
      <c r="FG126" s="79"/>
      <c r="FH126" s="79"/>
      <c r="FI126" s="78"/>
      <c r="FJ126" s="78"/>
      <c r="FK126" s="78"/>
      <c r="FL126" s="78"/>
      <c r="FM126" s="78"/>
      <c r="FN126" s="78"/>
      <c r="FO126" s="78"/>
      <c r="FP126" s="78"/>
      <c r="FQ126" s="79"/>
      <c r="FR126" s="79"/>
      <c r="FS126" s="79"/>
      <c r="FT126" s="79"/>
      <c r="FU126" s="79"/>
      <c r="FV126" s="79"/>
      <c r="FW126" s="78"/>
      <c r="FX126" s="78"/>
      <c r="FY126" s="78"/>
      <c r="FZ126" s="78"/>
      <c r="GA126" s="78"/>
      <c r="GB126" s="78"/>
      <c r="GC126" s="78"/>
      <c r="GD126" s="78"/>
      <c r="GE126" s="79"/>
      <c r="GF126" s="79"/>
      <c r="GG126" s="79"/>
      <c r="GH126" s="79"/>
      <c r="GI126" s="79"/>
      <c r="GJ126" s="79"/>
      <c r="GK126" s="78"/>
      <c r="GL126" s="78"/>
      <c r="GM126" s="78"/>
      <c r="GN126" s="78"/>
      <c r="GO126" s="78"/>
      <c r="GP126" s="78"/>
      <c r="GQ126" s="78"/>
      <c r="GR126" s="78"/>
      <c r="GS126" s="79"/>
      <c r="GT126" s="79"/>
      <c r="GU126" s="79"/>
      <c r="GV126" s="79"/>
      <c r="GW126" s="79"/>
      <c r="GX126" s="79"/>
      <c r="GY126" s="78"/>
      <c r="GZ126" s="78"/>
      <c r="HA126" s="78"/>
      <c r="HB126" s="78"/>
      <c r="HC126" s="78"/>
      <c r="HD126" s="78"/>
      <c r="HE126" s="78"/>
      <c r="HF126" s="78"/>
      <c r="HG126" s="79"/>
      <c r="HH126" s="79"/>
      <c r="HI126" s="79"/>
      <c r="HJ126" s="79"/>
      <c r="HK126" s="79"/>
      <c r="HL126" s="79"/>
      <c r="HM126" s="78"/>
      <c r="HN126" s="78"/>
      <c r="HO126" s="78"/>
      <c r="HP126" s="78"/>
      <c r="HQ126" s="78"/>
      <c r="HR126" s="78"/>
      <c r="HS126" s="78"/>
      <c r="HT126" s="78"/>
      <c r="HU126" s="79"/>
      <c r="HV126" s="79"/>
      <c r="HW126" s="79"/>
      <c r="HX126" s="79"/>
      <c r="HY126" s="79"/>
      <c r="HZ126" s="79"/>
      <c r="IA126" s="78"/>
      <c r="IB126" s="78"/>
      <c r="IC126" s="78"/>
      <c r="ID126" s="78"/>
      <c r="IE126" s="78"/>
      <c r="IF126" s="78"/>
      <c r="IG126" s="78"/>
      <c r="IH126" s="78"/>
      <c r="II126" s="79"/>
      <c r="IJ126" s="79"/>
      <c r="IK126" s="79"/>
      <c r="IL126" s="79"/>
      <c r="IM126" s="79"/>
      <c r="IN126" s="79"/>
      <c r="IO126" s="78"/>
      <c r="IP126" s="78"/>
      <c r="IQ126" s="78"/>
      <c r="IR126" s="78"/>
      <c r="IS126" s="78"/>
      <c r="IT126" s="78"/>
      <c r="IU126" s="78"/>
      <c r="IV126" s="78"/>
      <c r="IW126" s="79"/>
      <c r="IX126" s="79"/>
      <c r="IY126" s="79"/>
      <c r="IZ126" s="79"/>
      <c r="JA126" s="79"/>
      <c r="JB126" s="79"/>
      <c r="JC126" s="78"/>
      <c r="JD126" s="78"/>
      <c r="JE126" s="78"/>
      <c r="JF126" s="78"/>
      <c r="JG126" s="78"/>
      <c r="JH126" s="78"/>
      <c r="JI126" s="78"/>
      <c r="JJ126" s="78"/>
      <c r="JK126" s="79"/>
      <c r="JL126" s="79"/>
      <c r="JM126" s="79"/>
      <c r="JN126" s="79"/>
      <c r="JO126" s="79"/>
      <c r="JP126" s="79"/>
      <c r="JQ126" s="78"/>
      <c r="JR126" s="78"/>
      <c r="JS126" s="78"/>
      <c r="JT126" s="78"/>
      <c r="JU126" s="78"/>
      <c r="JV126" s="78"/>
      <c r="JW126" s="78"/>
      <c r="JX126" s="78"/>
      <c r="JY126" s="79"/>
      <c r="JZ126" s="79"/>
      <c r="KA126" s="79"/>
      <c r="KB126" s="79"/>
      <c r="KC126" s="79"/>
      <c r="KD126" s="79"/>
      <c r="KE126" s="78"/>
      <c r="KF126" s="78"/>
      <c r="KG126" s="78"/>
      <c r="KH126" s="78"/>
      <c r="KI126" s="78"/>
      <c r="KJ126" s="78"/>
      <c r="KK126" s="78"/>
      <c r="KL126" s="78"/>
      <c r="KM126" s="79"/>
      <c r="KN126" s="79"/>
      <c r="KO126" s="79"/>
      <c r="KP126" s="79"/>
      <c r="KQ126" s="79"/>
      <c r="KR126" s="79"/>
      <c r="KS126" s="78"/>
      <c r="KT126" s="78"/>
      <c r="KU126" s="78"/>
      <c r="KV126" s="78"/>
      <c r="KW126" s="78"/>
      <c r="KX126" s="78"/>
      <c r="KY126" s="78"/>
      <c r="KZ126" s="78"/>
      <c r="LA126" s="79"/>
      <c r="LB126" s="79"/>
      <c r="LC126" s="79"/>
      <c r="LD126" s="79"/>
      <c r="LE126" s="79"/>
      <c r="LF126" s="79"/>
      <c r="LG126" s="78"/>
      <c r="LH126" s="78"/>
      <c r="LI126" s="78"/>
      <c r="LJ126" s="78"/>
      <c r="LK126" s="78"/>
      <c r="LL126" s="78"/>
      <c r="LM126" s="78"/>
      <c r="LN126" s="78"/>
      <c r="LO126" s="79"/>
      <c r="LP126" s="79"/>
      <c r="LQ126" s="79"/>
      <c r="LR126" s="79"/>
      <c r="LS126" s="79"/>
      <c r="LT126" s="79"/>
      <c r="LU126" s="78"/>
      <c r="LV126" s="78"/>
      <c r="LW126" s="78"/>
      <c r="LX126" s="78"/>
      <c r="LY126" s="78"/>
      <c r="LZ126" s="78"/>
      <c r="MA126" s="78"/>
      <c r="MB126" s="78"/>
      <c r="MC126" s="79"/>
      <c r="MD126" s="79"/>
      <c r="ME126" s="79"/>
      <c r="MF126" s="79"/>
      <c r="MG126" s="79"/>
      <c r="MH126" s="79"/>
      <c r="MI126" s="78"/>
      <c r="MJ126" s="78"/>
      <c r="MK126" s="78"/>
      <c r="ML126" s="78"/>
      <c r="MM126" s="78"/>
      <c r="MN126" s="78"/>
      <c r="MO126" s="78"/>
      <c r="MP126" s="78"/>
      <c r="MQ126" s="79"/>
      <c r="MR126" s="79"/>
      <c r="MS126" s="79"/>
      <c r="MT126" s="79"/>
      <c r="MU126" s="79"/>
      <c r="MV126" s="79"/>
      <c r="MW126" s="78"/>
      <c r="MX126" s="78"/>
      <c r="MY126" s="78"/>
      <c r="MZ126" s="78"/>
      <c r="NA126" s="78"/>
      <c r="NB126" s="78"/>
      <c r="NC126" s="78"/>
      <c r="ND126" s="78"/>
      <c r="NE126" s="79"/>
      <c r="NF126" s="79"/>
      <c r="NG126" s="79"/>
      <c r="NH126" s="79"/>
      <c r="NI126" s="79"/>
      <c r="NJ126" s="79"/>
      <c r="NK126" s="78"/>
      <c r="NL126" s="78"/>
      <c r="NM126" s="78"/>
      <c r="NN126" s="78"/>
      <c r="NO126" s="78"/>
      <c r="NP126" s="78"/>
      <c r="NQ126" s="78"/>
      <c r="NR126" s="78"/>
      <c r="NS126" s="79"/>
      <c r="NT126" s="79"/>
      <c r="NU126" s="79"/>
      <c r="NV126" s="79"/>
      <c r="NW126" s="79"/>
      <c r="NX126" s="79"/>
      <c r="NY126" s="78"/>
      <c r="NZ126" s="78"/>
      <c r="OA126" s="78"/>
      <c r="OB126" s="78"/>
      <c r="OC126" s="78"/>
      <c r="OD126" s="78"/>
      <c r="OE126" s="78"/>
      <c r="OF126" s="78"/>
      <c r="OG126" s="79"/>
      <c r="OH126" s="79"/>
      <c r="OI126" s="79"/>
      <c r="OJ126" s="79"/>
      <c r="OK126" s="79"/>
      <c r="OL126" s="79"/>
      <c r="OM126" s="78"/>
      <c r="ON126" s="78"/>
      <c r="OO126" s="78"/>
      <c r="OP126" s="78"/>
      <c r="OQ126" s="78"/>
      <c r="OR126" s="78"/>
      <c r="OS126" s="78"/>
      <c r="OT126" s="78"/>
      <c r="OU126" s="79"/>
      <c r="OV126" s="79"/>
      <c r="OW126" s="79"/>
      <c r="OX126" s="79"/>
      <c r="OY126" s="79"/>
      <c r="OZ126" s="79"/>
      <c r="PA126" s="78"/>
      <c r="PB126" s="78"/>
      <c r="PC126" s="78"/>
      <c r="PD126" s="78"/>
      <c r="PE126" s="78"/>
      <c r="PF126" s="78"/>
      <c r="PG126" s="78"/>
      <c r="PH126" s="78"/>
      <c r="PI126" s="79"/>
      <c r="PJ126" s="79"/>
      <c r="PK126" s="79"/>
      <c r="PL126" s="79"/>
      <c r="PM126" s="79"/>
      <c r="PN126" s="79"/>
      <c r="PO126" s="78"/>
      <c r="PP126" s="78"/>
      <c r="PQ126" s="78"/>
      <c r="PR126" s="78"/>
      <c r="PS126" s="78"/>
      <c r="PT126" s="78"/>
      <c r="PU126" s="78"/>
      <c r="PV126" s="78"/>
      <c r="PW126" s="79"/>
      <c r="PX126" s="79"/>
      <c r="PY126" s="79"/>
      <c r="PZ126" s="79"/>
      <c r="QA126" s="79"/>
      <c r="QB126" s="79"/>
      <c r="QC126" s="78"/>
      <c r="QD126" s="78"/>
      <c r="QE126" s="78"/>
      <c r="QF126" s="78"/>
      <c r="QG126" s="78"/>
      <c r="QH126" s="78"/>
      <c r="QI126" s="78"/>
      <c r="QJ126" s="78"/>
      <c r="QK126" s="79"/>
      <c r="QL126" s="79"/>
      <c r="QM126" s="79"/>
      <c r="QN126" s="79"/>
      <c r="QO126" s="79"/>
      <c r="QP126" s="79"/>
      <c r="QQ126" s="78"/>
      <c r="QR126" s="78"/>
      <c r="QS126" s="78"/>
      <c r="QT126" s="78"/>
      <c r="QU126" s="78"/>
      <c r="QV126" s="78"/>
      <c r="QW126" s="78"/>
      <c r="QX126" s="78"/>
      <c r="QY126" s="79"/>
      <c r="QZ126" s="79"/>
      <c r="RA126" s="79"/>
      <c r="RB126" s="79"/>
      <c r="RC126" s="79"/>
      <c r="RD126" s="79"/>
      <c r="RE126" s="78"/>
      <c r="RF126" s="78"/>
      <c r="RG126" s="78"/>
      <c r="RH126" s="78"/>
      <c r="RI126" s="78"/>
      <c r="RJ126" s="78"/>
      <c r="RK126" s="78"/>
      <c r="RL126" s="78"/>
      <c r="RM126" s="79"/>
      <c r="RN126" s="79"/>
      <c r="RO126" s="79"/>
      <c r="RP126" s="79"/>
      <c r="RQ126" s="79"/>
      <c r="RR126" s="79"/>
      <c r="RS126" s="78"/>
      <c r="RT126" s="78"/>
      <c r="RU126" s="78"/>
      <c r="RV126" s="78"/>
      <c r="RW126" s="78"/>
      <c r="RX126" s="78"/>
      <c r="RY126" s="78"/>
    </row>
    <row r="127" spans="1:493" s="43" customFormat="1" ht="60.75" customHeight="1" x14ac:dyDescent="0.35">
      <c r="A127" s="101" t="s">
        <v>129</v>
      </c>
      <c r="B127" s="101"/>
      <c r="C127" s="101"/>
      <c r="D127" s="21"/>
      <c r="E127" s="21"/>
      <c r="F127" s="115"/>
      <c r="G127" s="115"/>
      <c r="H127" s="116" t="s">
        <v>130</v>
      </c>
      <c r="I127" s="116"/>
      <c r="J127" s="42"/>
    </row>
    <row r="128" spans="1:493" s="47" customFormat="1" ht="60.75" customHeight="1" x14ac:dyDescent="0.35">
      <c r="A128" s="44"/>
      <c r="B128" s="45"/>
      <c r="C128" s="46"/>
      <c r="D128" s="22"/>
      <c r="E128" s="22"/>
      <c r="F128" s="23"/>
      <c r="G128" s="23"/>
      <c r="H128" s="24"/>
      <c r="I128" s="24"/>
      <c r="J128" s="24"/>
    </row>
    <row r="129" spans="1:10" s="8" customFormat="1" ht="23.25" x14ac:dyDescent="0.35">
      <c r="A129" s="6" t="s">
        <v>37</v>
      </c>
      <c r="B129" s="6"/>
      <c r="C129" s="6"/>
      <c r="D129" s="7"/>
      <c r="E129" s="7"/>
      <c r="F129" s="7"/>
      <c r="G129" s="7"/>
      <c r="H129" s="25"/>
      <c r="I129" s="25"/>
      <c r="J129" s="25"/>
    </row>
    <row r="130" spans="1:10" x14ac:dyDescent="0.25">
      <c r="A130" s="5"/>
      <c r="B130" s="5"/>
      <c r="C130" s="5"/>
      <c r="D130" s="26"/>
      <c r="E130" s="26"/>
      <c r="F130" s="26"/>
      <c r="G130" s="26"/>
      <c r="H130" s="27"/>
      <c r="I130" s="27"/>
      <c r="J130" s="27"/>
    </row>
    <row r="131" spans="1:10" x14ac:dyDescent="0.25">
      <c r="A131" s="5"/>
      <c r="B131" s="5"/>
      <c r="C131" s="5"/>
      <c r="D131" s="26"/>
      <c r="E131" s="26"/>
      <c r="F131" s="26"/>
      <c r="G131" s="26"/>
    </row>
    <row r="132" spans="1:10" x14ac:dyDescent="0.25">
      <c r="A132" s="5"/>
      <c r="B132" s="5"/>
      <c r="C132" s="5"/>
      <c r="D132" s="26"/>
      <c r="E132" s="26"/>
      <c r="F132" s="26"/>
      <c r="G132" s="26"/>
    </row>
    <row r="133" spans="1:10" x14ac:dyDescent="0.25">
      <c r="A133" s="5"/>
      <c r="B133" s="5"/>
      <c r="C133" s="5"/>
      <c r="D133" s="26"/>
      <c r="E133" s="26"/>
      <c r="F133" s="26"/>
      <c r="G133" s="26"/>
    </row>
    <row r="134" spans="1:10" x14ac:dyDescent="0.25">
      <c r="A134" s="5"/>
      <c r="B134" s="5"/>
      <c r="C134" s="5"/>
      <c r="D134" s="26"/>
      <c r="E134" s="26"/>
      <c r="F134" s="26"/>
      <c r="G134" s="26"/>
    </row>
    <row r="135" spans="1:10" x14ac:dyDescent="0.25">
      <c r="A135" s="5"/>
      <c r="B135" s="5"/>
      <c r="C135" s="5"/>
      <c r="D135" s="26"/>
      <c r="E135" s="26"/>
      <c r="F135" s="26"/>
      <c r="G135" s="26"/>
    </row>
    <row r="136" spans="1:10" x14ac:dyDescent="0.25">
      <c r="A136" s="5"/>
      <c r="B136" s="5"/>
      <c r="C136" s="5"/>
      <c r="D136" s="26"/>
      <c r="E136" s="26"/>
      <c r="F136" s="26"/>
      <c r="G136" s="26"/>
    </row>
  </sheetData>
  <mergeCells count="43">
    <mergeCell ref="A122:A125"/>
    <mergeCell ref="H7:J7"/>
    <mergeCell ref="H8:J8"/>
    <mergeCell ref="I1:J1"/>
    <mergeCell ref="I2:J2"/>
    <mergeCell ref="I3:J3"/>
    <mergeCell ref="B119:B121"/>
    <mergeCell ref="A119:A121"/>
    <mergeCell ref="A58:A60"/>
    <mergeCell ref="B58:B60"/>
    <mergeCell ref="B15:B17"/>
    <mergeCell ref="A13:J13"/>
    <mergeCell ref="I16:I17"/>
    <mergeCell ref="E16:E17"/>
    <mergeCell ref="I4:J4"/>
    <mergeCell ref="B49:B51"/>
    <mergeCell ref="A127:C127"/>
    <mergeCell ref="A92:A94"/>
    <mergeCell ref="A98:A100"/>
    <mergeCell ref="D15:D17"/>
    <mergeCell ref="E15:J15"/>
    <mergeCell ref="A49:A51"/>
    <mergeCell ref="A71:A73"/>
    <mergeCell ref="B71:B73"/>
    <mergeCell ref="A114:A116"/>
    <mergeCell ref="F127:G127"/>
    <mergeCell ref="H127:I127"/>
    <mergeCell ref="A95:A97"/>
    <mergeCell ref="B114:B116"/>
    <mergeCell ref="C15:C17"/>
    <mergeCell ref="A84:A87"/>
    <mergeCell ref="A88:A91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2022-10-17T09:25:33Z</dcterms:modified>
</cp:coreProperties>
</file>