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DA254269-C988-4F98-AFF3-BDB9707B197D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програм)'!$A$1:$J$116</definedName>
  </definedNames>
  <calcPr calcId="191029"/>
</workbook>
</file>

<file path=xl/calcChain.xml><?xml version="1.0" encoding="utf-8"?>
<calcChain xmlns="http://schemas.openxmlformats.org/spreadsheetml/2006/main">
  <c r="G24" i="4" l="1"/>
  <c r="D61" i="4"/>
  <c r="G21" i="4" l="1"/>
  <c r="J21" i="4"/>
  <c r="D22" i="4"/>
  <c r="F22" i="4"/>
  <c r="F21" i="4" s="1"/>
  <c r="E24" i="4"/>
  <c r="E21" i="4" s="1"/>
  <c r="F24" i="4"/>
  <c r="H24" i="4"/>
  <c r="H21" i="4" s="1"/>
  <c r="I24" i="4"/>
  <c r="I21" i="4" s="1"/>
  <c r="H30" i="4"/>
  <c r="I30" i="4"/>
  <c r="J30" i="4"/>
  <c r="F31" i="4"/>
  <c r="D31" i="4" s="1"/>
  <c r="F32" i="4"/>
  <c r="G32" i="4"/>
  <c r="G30" i="4" s="1"/>
  <c r="F33" i="4"/>
  <c r="D33" i="4" s="1"/>
  <c r="E34" i="4"/>
  <c r="F34" i="4"/>
  <c r="E35" i="4"/>
  <c r="F35" i="4"/>
  <c r="E39" i="4"/>
  <c r="D39" i="4" s="1"/>
  <c r="E40" i="4"/>
  <c r="F40" i="4"/>
  <c r="D40" i="4" s="1"/>
  <c r="F41" i="4"/>
  <c r="D41" i="4" s="1"/>
  <c r="D42" i="4"/>
  <c r="F42" i="4"/>
  <c r="D43" i="4"/>
  <c r="G44" i="4"/>
  <c r="H44" i="4"/>
  <c r="I44" i="4"/>
  <c r="J44" i="4"/>
  <c r="E45" i="4"/>
  <c r="E44" i="4" s="1"/>
  <c r="F45" i="4"/>
  <c r="F44" i="4" s="1"/>
  <c r="E46" i="4"/>
  <c r="F46" i="4"/>
  <c r="D46" i="4" s="1"/>
  <c r="H48" i="4"/>
  <c r="H47" i="4" s="1"/>
  <c r="F49" i="4"/>
  <c r="F29" i="4" s="1"/>
  <c r="G49" i="4"/>
  <c r="G29" i="4" s="1"/>
  <c r="G20" i="4" s="1"/>
  <c r="H49" i="4"/>
  <c r="H29" i="4" s="1"/>
  <c r="I49" i="4"/>
  <c r="I29" i="4" s="1"/>
  <c r="J49" i="4"/>
  <c r="J29" i="4" s="1"/>
  <c r="F50" i="4"/>
  <c r="F48" i="4" s="1"/>
  <c r="F47" i="4" s="1"/>
  <c r="G50" i="4"/>
  <c r="H50" i="4"/>
  <c r="I50" i="4"/>
  <c r="I48" i="4" s="1"/>
  <c r="I47" i="4" s="1"/>
  <c r="J50" i="4"/>
  <c r="J48" i="4" s="1"/>
  <c r="J47" i="4" s="1"/>
  <c r="E51" i="4"/>
  <c r="E50" i="4" s="1"/>
  <c r="F51" i="4"/>
  <c r="D51" i="4" s="1"/>
  <c r="D52" i="4"/>
  <c r="F52" i="4"/>
  <c r="F53" i="4"/>
  <c r="D53" i="4" s="1"/>
  <c r="E54" i="4"/>
  <c r="D54" i="4" s="1"/>
  <c r="F54" i="4"/>
  <c r="E55" i="4"/>
  <c r="D55" i="4" s="1"/>
  <c r="F56" i="4"/>
  <c r="G56" i="4"/>
  <c r="H56" i="4"/>
  <c r="I56" i="4"/>
  <c r="J56" i="4"/>
  <c r="D57" i="4"/>
  <c r="E57" i="4"/>
  <c r="E58" i="4"/>
  <c r="D58" i="4" s="1"/>
  <c r="D49" i="4" s="1"/>
  <c r="D29" i="4" s="1"/>
  <c r="D59" i="4"/>
  <c r="D60" i="4"/>
  <c r="F60" i="4"/>
  <c r="G62" i="4"/>
  <c r="H62" i="4"/>
  <c r="I62" i="4"/>
  <c r="J62" i="4"/>
  <c r="F63" i="4"/>
  <c r="D63" i="4" s="1"/>
  <c r="E64" i="4"/>
  <c r="D64" i="4" s="1"/>
  <c r="F64" i="4"/>
  <c r="D65" i="4"/>
  <c r="E66" i="4"/>
  <c r="D66" i="4" s="1"/>
  <c r="F66" i="4"/>
  <c r="E69" i="4"/>
  <c r="F69" i="4"/>
  <c r="G69" i="4"/>
  <c r="H69" i="4"/>
  <c r="I69" i="4"/>
  <c r="J69" i="4"/>
  <c r="E72" i="4"/>
  <c r="G72" i="4"/>
  <c r="H72" i="4"/>
  <c r="I72" i="4"/>
  <c r="J72" i="4"/>
  <c r="F73" i="4"/>
  <c r="D74" i="4"/>
  <c r="D75" i="4"/>
  <c r="D76" i="4"/>
  <c r="D77" i="4"/>
  <c r="D78" i="4"/>
  <c r="F78" i="4"/>
  <c r="E81" i="4"/>
  <c r="E82" i="4"/>
  <c r="F82" i="4"/>
  <c r="G82" i="4"/>
  <c r="H82" i="4"/>
  <c r="I82" i="4"/>
  <c r="J82" i="4"/>
  <c r="E83" i="4"/>
  <c r="E84" i="4"/>
  <c r="F84" i="4"/>
  <c r="F83" i="4" s="1"/>
  <c r="F85" i="4"/>
  <c r="F81" i="4" s="1"/>
  <c r="G85" i="4"/>
  <c r="G83" i="4" s="1"/>
  <c r="H85" i="4"/>
  <c r="H81" i="4" s="1"/>
  <c r="I85" i="4"/>
  <c r="I81" i="4" s="1"/>
  <c r="J85" i="4"/>
  <c r="J81" i="4" s="1"/>
  <c r="D86" i="4"/>
  <c r="E88" i="4"/>
  <c r="E87" i="4" s="1"/>
  <c r="F88" i="4"/>
  <c r="F87" i="4" s="1"/>
  <c r="G88" i="4"/>
  <c r="G87" i="4" s="1"/>
  <c r="H88" i="4"/>
  <c r="H80" i="4" s="1"/>
  <c r="H79" i="4" s="1"/>
  <c r="I88" i="4"/>
  <c r="I87" i="4" s="1"/>
  <c r="J88" i="4"/>
  <c r="J87" i="4" s="1"/>
  <c r="D89" i="4"/>
  <c r="E90" i="4"/>
  <c r="F90" i="4"/>
  <c r="G90" i="4"/>
  <c r="H90" i="4"/>
  <c r="I90" i="4"/>
  <c r="J90" i="4"/>
  <c r="E91" i="4"/>
  <c r="D91" i="4" s="1"/>
  <c r="D92" i="4"/>
  <c r="E93" i="4"/>
  <c r="F93" i="4"/>
  <c r="G93" i="4"/>
  <c r="H93" i="4"/>
  <c r="I93" i="4"/>
  <c r="J93" i="4"/>
  <c r="D94" i="4"/>
  <c r="D95" i="4"/>
  <c r="G96" i="4"/>
  <c r="F97" i="4"/>
  <c r="H97" i="4"/>
  <c r="H96" i="4" s="1"/>
  <c r="I97" i="4"/>
  <c r="D97" i="4" s="1"/>
  <c r="J97" i="4"/>
  <c r="J96" i="4" s="1"/>
  <c r="F98" i="4"/>
  <c r="D98" i="4" s="1"/>
  <c r="E99" i="4"/>
  <c r="E96" i="4" s="1"/>
  <c r="F99" i="4"/>
  <c r="D100" i="4"/>
  <c r="E101" i="4"/>
  <c r="D101" i="4" s="1"/>
  <c r="F101" i="4"/>
  <c r="F102" i="4"/>
  <c r="D102" i="4" s="1"/>
  <c r="F103" i="4"/>
  <c r="D103" i="4" s="1"/>
  <c r="F104" i="4"/>
  <c r="D104" i="4" s="1"/>
  <c r="D105" i="4"/>
  <c r="F106" i="4"/>
  <c r="D106" i="4" s="1"/>
  <c r="D107" i="4"/>
  <c r="F107" i="4"/>
  <c r="E108" i="4"/>
  <c r="F108" i="4"/>
  <c r="G108" i="4"/>
  <c r="H108" i="4"/>
  <c r="I108" i="4"/>
  <c r="J108" i="4"/>
  <c r="D109" i="4"/>
  <c r="D110" i="4"/>
  <c r="D111" i="4"/>
  <c r="D112" i="4"/>
  <c r="E113" i="4"/>
  <c r="G113" i="4"/>
  <c r="H113" i="4"/>
  <c r="I113" i="4"/>
  <c r="J113" i="4"/>
  <c r="F114" i="4"/>
  <c r="F113" i="4" s="1"/>
  <c r="D115" i="4"/>
  <c r="D99" i="4" l="1"/>
  <c r="F96" i="4"/>
  <c r="D90" i="4"/>
  <c r="H87" i="4"/>
  <c r="D87" i="4" s="1"/>
  <c r="D84" i="4"/>
  <c r="J80" i="4"/>
  <c r="J79" i="4" s="1"/>
  <c r="F72" i="4"/>
  <c r="F62" i="4"/>
  <c r="J20" i="4"/>
  <c r="F20" i="4"/>
  <c r="E30" i="4"/>
  <c r="F30" i="4"/>
  <c r="F28" i="4" s="1"/>
  <c r="D113" i="4"/>
  <c r="D108" i="4"/>
  <c r="J83" i="4"/>
  <c r="G80" i="4"/>
  <c r="G79" i="4" s="1"/>
  <c r="G67" i="4" s="1"/>
  <c r="D69" i="4"/>
  <c r="E62" i="4"/>
  <c r="I20" i="4"/>
  <c r="E49" i="4"/>
  <c r="E29" i="4" s="1"/>
  <c r="E20" i="4" s="1"/>
  <c r="I28" i="4"/>
  <c r="D34" i="4"/>
  <c r="D114" i="4"/>
  <c r="D93" i="4"/>
  <c r="I83" i="4"/>
  <c r="D82" i="4"/>
  <c r="G81" i="4"/>
  <c r="E56" i="4"/>
  <c r="D56" i="4" s="1"/>
  <c r="G48" i="4"/>
  <c r="G47" i="4" s="1"/>
  <c r="H20" i="4"/>
  <c r="H28" i="4"/>
  <c r="H27" i="4" s="1"/>
  <c r="D35" i="4"/>
  <c r="F27" i="4"/>
  <c r="D20" i="4"/>
  <c r="E48" i="4"/>
  <c r="D50" i="4"/>
  <c r="D48" i="4" s="1"/>
  <c r="I27" i="4"/>
  <c r="D81" i="4"/>
  <c r="D21" i="4"/>
  <c r="J67" i="4"/>
  <c r="J68" i="4"/>
  <c r="H68" i="4"/>
  <c r="H19" i="4" s="1"/>
  <c r="H18" i="4" s="1"/>
  <c r="D44" i="4"/>
  <c r="G28" i="4"/>
  <c r="G27" i="4" s="1"/>
  <c r="J28" i="4"/>
  <c r="J27" i="4" s="1"/>
  <c r="I96" i="4"/>
  <c r="D96" i="4" s="1"/>
  <c r="D88" i="4"/>
  <c r="H83" i="4"/>
  <c r="D83" i="4" s="1"/>
  <c r="I80" i="4"/>
  <c r="I79" i="4" s="1"/>
  <c r="E80" i="4"/>
  <c r="D73" i="4"/>
  <c r="D72" i="4" s="1"/>
  <c r="H67" i="4"/>
  <c r="D45" i="4"/>
  <c r="D32" i="4"/>
  <c r="D24" i="4"/>
  <c r="F80" i="4"/>
  <c r="F79" i="4" s="1"/>
  <c r="F68" i="4" s="1"/>
  <c r="F19" i="4" s="1"/>
  <c r="F18" i="4" s="1"/>
  <c r="D85" i="4"/>
  <c r="G68" i="4" l="1"/>
  <c r="E47" i="4"/>
  <c r="D47" i="4" s="1"/>
  <c r="D62" i="4"/>
  <c r="D30" i="4"/>
  <c r="D28" i="4" s="1"/>
  <c r="D27" i="4" s="1"/>
  <c r="J19" i="4"/>
  <c r="J18" i="4" s="1"/>
  <c r="F67" i="4"/>
  <c r="D80" i="4"/>
  <c r="E79" i="4"/>
  <c r="G19" i="4"/>
  <c r="G18" i="4" s="1"/>
  <c r="E28" i="4"/>
  <c r="I67" i="4"/>
  <c r="I68" i="4"/>
  <c r="I19" i="4" s="1"/>
  <c r="I18" i="4" s="1"/>
  <c r="E27" i="4" l="1"/>
  <c r="E67" i="4"/>
  <c r="D67" i="4" s="1"/>
  <c r="D79" i="4"/>
  <c r="E68" i="4"/>
  <c r="D68" i="4" s="1"/>
  <c r="D19" i="4" s="1"/>
  <c r="D18" i="4" s="1"/>
  <c r="E19" i="4" l="1"/>
  <c r="E18" i="4" s="1"/>
  <c r="H6" i="6" l="1"/>
  <c r="H5" i="6"/>
</calcChain>
</file>

<file path=xl/sharedStrings.xml><?xml version="1.0" encoding="utf-8"?>
<sst xmlns="http://schemas.openxmlformats.org/spreadsheetml/2006/main" count="342" uniqueCount="124">
  <si>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</si>
  <si>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</si>
  <si>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</si>
  <si>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</si>
  <si>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</si>
  <si>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</si>
  <si>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</si>
  <si>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</si>
  <si>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</si>
  <si>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</si>
  <si>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</si>
  <si>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</si>
  <si>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</si>
  <si>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</si>
  <si>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</si>
  <si>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</si>
  <si>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</si>
  <si>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</si>
  <si>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</si>
  <si>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</si>
  <si>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</si>
  <si>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</si>
  <si>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</si>
  <si>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</si>
  <si>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</si>
  <si>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</si>
  <si>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</si>
  <si>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</si>
  <si>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</si>
  <si>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</si>
  <si>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</si>
  <si>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</si>
  <si>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</si>
  <si>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</si>
  <si>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</si>
  <si>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</si>
  <si>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</si>
  <si>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</si>
  <si>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</si>
  <si>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</si>
  <si>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</si>
  <si>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</si>
  <si>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</si>
  <si>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</si>
  <si>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</si>
  <si>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</si>
  <si>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</si>
  <si>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</si>
  <si>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</si>
  <si>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</si>
  <si>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</si>
  <si>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</si>
  <si>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</si>
  <si>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</si>
  <si>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</si>
  <si>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</si>
  <si>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</si>
  <si>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</si>
  <si>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</si>
  <si>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</si>
  <si>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</si>
  <si>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</si>
  <si>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</si>
  <si>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</si>
  <si>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</si>
  <si>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</si>
  <si>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</si>
  <si>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</si>
  <si>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</si>
  <si>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</si>
  <si>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</si>
  <si>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</si>
  <si>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</si>
  <si>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</si>
  <si>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</si>
  <si>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</si>
  <si>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</si>
  <si>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</si>
  <si>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</si>
  <si>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</si>
  <si>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</si>
  <si>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</si>
  <si>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</si>
  <si>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</si>
  <si>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</si>
  <si>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</si>
  <si>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</si>
  <si>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</si>
  <si>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</si>
  <si>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</si>
  <si>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</si>
  <si>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</si>
  <si>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</si>
  <si>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</si>
  <si>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</si>
  <si>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</si>
  <si>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</si>
  <si>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</si>
  <si>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</si>
  <si>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</si>
  <si>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</si>
  <si>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</si>
  <si>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</si>
  <si>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</si>
  <si>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</si>
  <si>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</si>
  <si>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</si>
  <si>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</si>
  <si>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</si>
  <si>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</si>
  <si>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</si>
  <si>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</si>
  <si>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</si>
  <si>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</si>
  <si>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</si>
  <si>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</si>
  <si>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</si>
  <si>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</si>
  <si>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</si>
  <si>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Приложение 1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</si>
  <si>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</si>
  <si>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</si>
  <si>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</si>
  <si>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 xml:space="preserve">от 08.07.2021г  № 1408-па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</si>
</sst>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16" fillId="0" borderId="39" xfId="0" applyNumberFormat="1" applyFont="1" applyFill="1" applyBorder="1" applyAlignment="1">
      <alignment horizontal="left" vertical="center" wrapText="1"/>
    </xf>
    <xf numFmtId="4" fontId="16" fillId="0" borderId="39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5"/>
  <sheetViews>
    <sheetView tabSelected="1" view="pageBreakPreview" zoomScale="60" zoomScaleNormal="60" workbookViewId="0">
      <pane xSplit="2" ySplit="17" topLeftCell="C66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5" customWidth="1"/>
    <col min="5" max="7" width="25.140625" style="15" customWidth="1"/>
    <col min="8" max="10" width="25.140625" style="4" customWidth="1"/>
    <col min="11" max="16384" width="9.140625" style="4"/>
  </cols>
  <sheetData>
    <row r="1" spans="1:10" ht="18.75" customHeight="1" outlineLevel="1" x14ac:dyDescent="0.25">
      <c r="H1" s="15"/>
      <c r="I1" s="15"/>
      <c r="J1" s="16" t="s">
        <v>119</v>
      </c>
    </row>
    <row r="2" spans="1:10" ht="18.75" customHeight="1" outlineLevel="1" x14ac:dyDescent="0.25">
      <c r="H2" s="15"/>
      <c r="I2" s="15"/>
      <c r="J2" s="16" t="s">
        <v>48</v>
      </c>
    </row>
    <row r="3" spans="1:10" ht="18.75" customHeight="1" outlineLevel="1" x14ac:dyDescent="0.25">
      <c r="H3" s="15"/>
      <c r="I3" s="15"/>
      <c r="J3" s="16" t="s">
        <v>49</v>
      </c>
    </row>
    <row r="4" spans="1:10" ht="35.25" customHeight="1" outlineLevel="1" x14ac:dyDescent="0.3">
      <c r="H4" s="15"/>
      <c r="I4" s="122" t="s">
        <v>123</v>
      </c>
      <c r="J4" s="122"/>
    </row>
    <row r="5" spans="1:10" ht="18.75" customHeight="1" outlineLevel="1" x14ac:dyDescent="0.25">
      <c r="H5" s="15"/>
      <c r="I5" s="15"/>
      <c r="J5" s="16"/>
    </row>
    <row r="6" spans="1:10" ht="18.75" outlineLevel="1" x14ac:dyDescent="0.25">
      <c r="G6" s="16"/>
      <c r="H6" s="15"/>
      <c r="I6" s="16"/>
      <c r="J6" s="16" t="s">
        <v>95</v>
      </c>
    </row>
    <row r="7" spans="1:10" ht="18.75" outlineLevel="1" x14ac:dyDescent="0.25">
      <c r="G7" s="16"/>
      <c r="H7" s="15"/>
      <c r="I7" s="16"/>
      <c r="J7" s="16" t="s">
        <v>34</v>
      </c>
    </row>
    <row r="8" spans="1:10" ht="18.75" outlineLevel="1" x14ac:dyDescent="0.3">
      <c r="G8" s="17"/>
      <c r="H8" s="15"/>
      <c r="I8" s="17"/>
      <c r="J8" s="17" t="s">
        <v>35</v>
      </c>
    </row>
    <row r="9" spans="1:10" ht="18.75" outlineLevel="1" x14ac:dyDescent="0.25">
      <c r="G9" s="16"/>
      <c r="H9" s="15"/>
      <c r="I9" s="16"/>
      <c r="J9" s="16" t="s">
        <v>54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101" t="s">
        <v>97</v>
      </c>
      <c r="B12" s="101"/>
      <c r="C12" s="101"/>
      <c r="D12" s="101"/>
      <c r="E12" s="101"/>
      <c r="F12" s="101"/>
      <c r="G12" s="101"/>
      <c r="H12" s="101"/>
      <c r="I12" s="101"/>
      <c r="J12" s="101"/>
    </row>
    <row r="13" spans="1:10" ht="30" customHeight="1" x14ac:dyDescent="0.25">
      <c r="A13" s="101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0" ht="18.75" x14ac:dyDescent="0.25">
      <c r="G14" s="16"/>
    </row>
    <row r="15" spans="1:10" ht="48.75" customHeight="1" x14ac:dyDescent="0.25">
      <c r="A15" s="128" t="s">
        <v>99</v>
      </c>
      <c r="B15" s="98" t="s">
        <v>98</v>
      </c>
      <c r="C15" s="98" t="s">
        <v>0</v>
      </c>
      <c r="D15" s="108" t="s">
        <v>1</v>
      </c>
      <c r="E15" s="111" t="s">
        <v>88</v>
      </c>
      <c r="F15" s="112"/>
      <c r="G15" s="112"/>
      <c r="H15" s="112"/>
      <c r="I15" s="112"/>
      <c r="J15" s="113"/>
    </row>
    <row r="16" spans="1:10" ht="48.75" customHeight="1" x14ac:dyDescent="0.25">
      <c r="A16" s="124"/>
      <c r="B16" s="99"/>
      <c r="C16" s="99"/>
      <c r="D16" s="109"/>
      <c r="E16" s="102" t="s">
        <v>51</v>
      </c>
      <c r="F16" s="102" t="s">
        <v>50</v>
      </c>
      <c r="G16" s="102" t="s">
        <v>55</v>
      </c>
      <c r="H16" s="102" t="s">
        <v>56</v>
      </c>
      <c r="I16" s="102" t="s">
        <v>57</v>
      </c>
      <c r="J16" s="102" t="s">
        <v>58</v>
      </c>
    </row>
    <row r="17" spans="1:10" ht="48.75" customHeight="1" thickBot="1" x14ac:dyDescent="0.3">
      <c r="A17" s="129"/>
      <c r="B17" s="100"/>
      <c r="C17" s="100"/>
      <c r="D17" s="110"/>
      <c r="E17" s="103"/>
      <c r="F17" s="103"/>
      <c r="G17" s="103"/>
      <c r="H17" s="103"/>
      <c r="I17" s="103"/>
      <c r="J17" s="103"/>
    </row>
    <row r="18" spans="1:10" ht="44.25" customHeight="1" x14ac:dyDescent="0.3">
      <c r="A18" s="123" t="s">
        <v>59</v>
      </c>
      <c r="B18" s="126" t="s">
        <v>82</v>
      </c>
      <c r="C18" s="52" t="s">
        <v>52</v>
      </c>
      <c r="D18" s="53">
        <f>D19+D20</f>
        <v>1296218919.1899998</v>
      </c>
      <c r="E18" s="50">
        <f t="shared" ref="E18:J18" si="0">E19+E20</f>
        <v>179894561</v>
      </c>
      <c r="F18" s="50">
        <f t="shared" si="0"/>
        <v>232113667.27000004</v>
      </c>
      <c r="G18" s="50">
        <f t="shared" si="0"/>
        <v>217908057.77000001</v>
      </c>
      <c r="H18" s="50">
        <f t="shared" si="0"/>
        <v>226470740.72999996</v>
      </c>
      <c r="I18" s="50">
        <f t="shared" si="0"/>
        <v>220261151.68999997</v>
      </c>
      <c r="J18" s="50">
        <f t="shared" si="0"/>
        <v>219570740.72999996</v>
      </c>
    </row>
    <row r="19" spans="1:10" ht="56.25" customHeight="1" x14ac:dyDescent="0.25">
      <c r="A19" s="124"/>
      <c r="B19" s="118"/>
      <c r="C19" s="83" t="s">
        <v>6</v>
      </c>
      <c r="D19" s="54">
        <f>D21+D28+D68</f>
        <v>1255824783.9999998</v>
      </c>
      <c r="E19" s="18">
        <f t="shared" ref="E19:F19" si="1">E21+E28+E68</f>
        <v>176322455.11000001</v>
      </c>
      <c r="F19" s="18">
        <f t="shared" si="1"/>
        <v>225291637.97000003</v>
      </c>
      <c r="G19" s="18">
        <f>G21+G28+G68</f>
        <v>217908057.77000001</v>
      </c>
      <c r="H19" s="18">
        <f>H21+H28+H68</f>
        <v>216470740.72999996</v>
      </c>
      <c r="I19" s="18">
        <f>I21+I28+I68</f>
        <v>210261151.68999997</v>
      </c>
      <c r="J19" s="18">
        <f t="shared" ref="J19" si="2">J21+J28+J68</f>
        <v>209570740.72999996</v>
      </c>
    </row>
    <row r="20" spans="1:10" ht="56.25" customHeight="1" x14ac:dyDescent="0.25">
      <c r="A20" s="125"/>
      <c r="B20" s="119"/>
      <c r="C20" s="83" t="s">
        <v>87</v>
      </c>
      <c r="D20" s="35">
        <f>D29+D69</f>
        <v>40394135.189999998</v>
      </c>
      <c r="E20" s="36">
        <f t="shared" ref="E20:J20" si="3">E29+E69</f>
        <v>3572105.89</v>
      </c>
      <c r="F20" s="36">
        <f t="shared" si="3"/>
        <v>6822029.2999999998</v>
      </c>
      <c r="G20" s="36">
        <f t="shared" si="3"/>
        <v>0</v>
      </c>
      <c r="H20" s="36">
        <f t="shared" si="3"/>
        <v>10000000</v>
      </c>
      <c r="I20" s="36">
        <f t="shared" si="3"/>
        <v>10000000</v>
      </c>
      <c r="J20" s="36">
        <f t="shared" si="3"/>
        <v>10000000</v>
      </c>
    </row>
    <row r="21" spans="1:10" s="41" customFormat="1" ht="81" customHeight="1" x14ac:dyDescent="0.25">
      <c r="A21" s="84" t="s">
        <v>60</v>
      </c>
      <c r="B21" s="43" t="s">
        <v>45</v>
      </c>
      <c r="C21" s="43" t="s">
        <v>6</v>
      </c>
      <c r="D21" s="9">
        <f>E21+F21+G21+H21+I21+J21</f>
        <v>80615467.329999998</v>
      </c>
      <c r="E21" s="18">
        <f t="shared" ref="E21:J21" si="4">E22+E24</f>
        <v>11125093.779999999</v>
      </c>
      <c r="F21" s="18">
        <f t="shared" si="4"/>
        <v>13072575.51</v>
      </c>
      <c r="G21" s="18">
        <f t="shared" si="4"/>
        <v>14073438.550000001</v>
      </c>
      <c r="H21" s="18">
        <f t="shared" si="4"/>
        <v>15284649.51</v>
      </c>
      <c r="I21" s="18">
        <f t="shared" si="4"/>
        <v>13875060.469999999</v>
      </c>
      <c r="J21" s="18">
        <f t="shared" si="4"/>
        <v>13184649.51</v>
      </c>
    </row>
    <row r="22" spans="1:10" ht="99" customHeight="1" x14ac:dyDescent="0.25">
      <c r="A22" s="57" t="s">
        <v>9</v>
      </c>
      <c r="B22" s="1" t="s">
        <v>45</v>
      </c>
      <c r="C22" s="1" t="s">
        <v>6</v>
      </c>
      <c r="D22" s="10">
        <f>E22+F22+G22+H22+I22+J22</f>
        <v>74899521.479999989</v>
      </c>
      <c r="E22" s="18">
        <v>11039960.58</v>
      </c>
      <c r="F22" s="19">
        <f>12734649.51+186313.35</f>
        <v>12920962.859999999</v>
      </c>
      <c r="G22" s="19">
        <v>12734649.51</v>
      </c>
      <c r="H22" s="19">
        <v>12734649.51</v>
      </c>
      <c r="I22" s="19">
        <v>12734649.51</v>
      </c>
      <c r="J22" s="19">
        <v>12734649.51</v>
      </c>
    </row>
    <row r="23" spans="1:10" ht="63.75" customHeight="1" x14ac:dyDescent="0.25">
      <c r="A23" s="57" t="s">
        <v>10</v>
      </c>
      <c r="B23" s="1" t="s">
        <v>45</v>
      </c>
      <c r="C23" s="1" t="s">
        <v>6</v>
      </c>
      <c r="D23" s="32" t="s">
        <v>7</v>
      </c>
      <c r="E23" s="20" t="s">
        <v>7</v>
      </c>
      <c r="F23" s="20" t="s">
        <v>7</v>
      </c>
      <c r="G23" s="20" t="s">
        <v>7</v>
      </c>
      <c r="H23" s="20" t="s">
        <v>7</v>
      </c>
      <c r="I23" s="20" t="s">
        <v>7</v>
      </c>
      <c r="J23" s="20" t="s">
        <v>7</v>
      </c>
    </row>
    <row r="24" spans="1:10" ht="63.75" customHeight="1" x14ac:dyDescent="0.25">
      <c r="A24" s="57" t="s">
        <v>106</v>
      </c>
      <c r="B24" s="1" t="s">
        <v>45</v>
      </c>
      <c r="C24" s="1" t="s">
        <v>6</v>
      </c>
      <c r="D24" s="10">
        <f>E24+F24+G24+H24+I24+J24</f>
        <v>5715945.8499999996</v>
      </c>
      <c r="E24" s="19">
        <f>376122.2-140000-150989</f>
        <v>85133.200000000012</v>
      </c>
      <c r="F24" s="19">
        <f>506122.2-45000-128247.67-181261.88</f>
        <v>151612.65000000002</v>
      </c>
      <c r="G24" s="19">
        <f>450000+1388789.04-500000</f>
        <v>1338789.04</v>
      </c>
      <c r="H24" s="19">
        <f>450000+2100000</f>
        <v>2550000</v>
      </c>
      <c r="I24" s="19">
        <f>450000+690410.96</f>
        <v>1140410.96</v>
      </c>
      <c r="J24" s="19">
        <v>450000</v>
      </c>
    </row>
    <row r="25" spans="1:10" ht="213.75" customHeight="1" x14ac:dyDescent="0.25">
      <c r="A25" s="57" t="s">
        <v>36</v>
      </c>
      <c r="B25" s="1" t="s">
        <v>83</v>
      </c>
      <c r="C25" s="1" t="s">
        <v>6</v>
      </c>
      <c r="D25" s="32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</row>
    <row r="26" spans="1:10" ht="84" customHeight="1" x14ac:dyDescent="0.25">
      <c r="A26" s="84" t="s">
        <v>61</v>
      </c>
      <c r="B26" s="43" t="s">
        <v>45</v>
      </c>
      <c r="C26" s="43" t="s">
        <v>6</v>
      </c>
      <c r="D26" s="32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 t="s">
        <v>7</v>
      </c>
    </row>
    <row r="27" spans="1:10" ht="84" customHeight="1" x14ac:dyDescent="0.25">
      <c r="A27" s="128" t="s">
        <v>62</v>
      </c>
      <c r="B27" s="98" t="s">
        <v>5</v>
      </c>
      <c r="C27" s="83" t="s">
        <v>52</v>
      </c>
      <c r="D27" s="37">
        <f>D28+D29</f>
        <v>163440139.31999999</v>
      </c>
      <c r="E27" s="38">
        <f t="shared" ref="E27:J27" si="5">E28+E29</f>
        <v>25356368.810000002</v>
      </c>
      <c r="F27" s="38">
        <f t="shared" si="5"/>
        <v>29378541.989999998</v>
      </c>
      <c r="G27" s="38">
        <f>G28+G29</f>
        <v>27123807.129999999</v>
      </c>
      <c r="H27" s="38">
        <f t="shared" si="5"/>
        <v>27193807.129999999</v>
      </c>
      <c r="I27" s="38">
        <f t="shared" si="5"/>
        <v>27193807.129999999</v>
      </c>
      <c r="J27" s="38">
        <f t="shared" si="5"/>
        <v>27193807.129999999</v>
      </c>
    </row>
    <row r="28" spans="1:10" s="41" customFormat="1" ht="47.25" customHeight="1" x14ac:dyDescent="0.25">
      <c r="A28" s="124"/>
      <c r="B28" s="99"/>
      <c r="C28" s="83" t="s">
        <v>6</v>
      </c>
      <c r="D28" s="37">
        <f>D30+D44+D48+D62</f>
        <v>159868033.43000001</v>
      </c>
      <c r="E28" s="38">
        <f>E30+E44+E48+E62</f>
        <v>21784262.920000002</v>
      </c>
      <c r="F28" s="38">
        <f t="shared" ref="F28:J28" si="6">F30+F44+F48+F62</f>
        <v>29378541.989999998</v>
      </c>
      <c r="G28" s="38">
        <f t="shared" si="6"/>
        <v>27123807.129999999</v>
      </c>
      <c r="H28" s="38">
        <f t="shared" si="6"/>
        <v>27193807.129999999</v>
      </c>
      <c r="I28" s="38">
        <f t="shared" si="6"/>
        <v>27193807.129999999</v>
      </c>
      <c r="J28" s="38">
        <f t="shared" si="6"/>
        <v>27193807.129999999</v>
      </c>
    </row>
    <row r="29" spans="1:10" s="41" customFormat="1" ht="47.25" customHeight="1" x14ac:dyDescent="0.25">
      <c r="A29" s="125"/>
      <c r="B29" s="127"/>
      <c r="C29" s="83" t="s">
        <v>87</v>
      </c>
      <c r="D29" s="37">
        <f>D49</f>
        <v>3572105.89</v>
      </c>
      <c r="E29" s="38">
        <f t="shared" ref="E29:J29" si="7">E49</f>
        <v>3572105.89</v>
      </c>
      <c r="F29" s="38">
        <f t="shared" si="7"/>
        <v>0</v>
      </c>
      <c r="G29" s="38">
        <f t="shared" si="7"/>
        <v>0</v>
      </c>
      <c r="H29" s="38">
        <f t="shared" si="7"/>
        <v>0</v>
      </c>
      <c r="I29" s="38">
        <f t="shared" si="7"/>
        <v>0</v>
      </c>
      <c r="J29" s="38">
        <f t="shared" si="7"/>
        <v>0</v>
      </c>
    </row>
    <row r="30" spans="1:10" ht="90.75" customHeight="1" x14ac:dyDescent="0.25">
      <c r="A30" s="80" t="s">
        <v>11</v>
      </c>
      <c r="B30" s="81" t="s">
        <v>5</v>
      </c>
      <c r="C30" s="1" t="s">
        <v>6</v>
      </c>
      <c r="D30" s="10">
        <f>SUM(E30:J30)</f>
        <v>8621985.0700000003</v>
      </c>
      <c r="E30" s="19">
        <f>SUM(E31:E41)</f>
        <v>702424.43</v>
      </c>
      <c r="F30" s="19">
        <f>SUM(F31:F42)</f>
        <v>4166754.96</v>
      </c>
      <c r="G30" s="19">
        <f>SUM(G31:G43)</f>
        <v>1613201.42</v>
      </c>
      <c r="H30" s="19">
        <f t="shared" ref="H30:J30" si="8">SUM(H31:H43)</f>
        <v>713201.42</v>
      </c>
      <c r="I30" s="19">
        <f t="shared" si="8"/>
        <v>713201.42</v>
      </c>
      <c r="J30" s="19">
        <f t="shared" si="8"/>
        <v>713201.42</v>
      </c>
    </row>
    <row r="31" spans="1:10" ht="148.5" customHeight="1" x14ac:dyDescent="0.25">
      <c r="A31" s="57" t="s">
        <v>23</v>
      </c>
      <c r="B31" s="1" t="s">
        <v>5</v>
      </c>
      <c r="C31" s="1" t="s">
        <v>6</v>
      </c>
      <c r="D31" s="10">
        <f t="shared" ref="D31:D35" si="9">SUM(E31:J31)</f>
        <v>1571801.38</v>
      </c>
      <c r="E31" s="33">
        <v>324848.98</v>
      </c>
      <c r="F31" s="33">
        <f>214900+60000+47586.88</f>
        <v>322486.88</v>
      </c>
      <c r="G31" s="33">
        <v>231116.38</v>
      </c>
      <c r="H31" s="33">
        <v>231116.38</v>
      </c>
      <c r="I31" s="33">
        <v>231116.38</v>
      </c>
      <c r="J31" s="33">
        <v>231116.38</v>
      </c>
    </row>
    <row r="32" spans="1:10" ht="100.5" customHeight="1" x14ac:dyDescent="0.25">
      <c r="A32" s="57" t="s">
        <v>72</v>
      </c>
      <c r="B32" s="1" t="s">
        <v>5</v>
      </c>
      <c r="C32" s="1" t="s">
        <v>6</v>
      </c>
      <c r="D32" s="10">
        <f t="shared" si="9"/>
        <v>1532057.56</v>
      </c>
      <c r="E32" s="33">
        <v>254321.85</v>
      </c>
      <c r="F32" s="33">
        <f>207280-86220.48-25379.81</f>
        <v>95679.71</v>
      </c>
      <c r="G32" s="33">
        <f>233014+250000</f>
        <v>483014</v>
      </c>
      <c r="H32" s="33">
        <v>233014</v>
      </c>
      <c r="I32" s="33">
        <v>233014</v>
      </c>
      <c r="J32" s="33">
        <v>233014</v>
      </c>
    </row>
    <row r="33" spans="1:10" ht="130.5" customHeight="1" x14ac:dyDescent="0.25">
      <c r="A33" s="57" t="s">
        <v>73</v>
      </c>
      <c r="B33" s="1" t="s">
        <v>5</v>
      </c>
      <c r="C33" s="1" t="s">
        <v>6</v>
      </c>
      <c r="D33" s="10">
        <f t="shared" si="9"/>
        <v>80400</v>
      </c>
      <c r="E33" s="33">
        <v>0</v>
      </c>
      <c r="F33" s="33">
        <f>20000-19600</f>
        <v>400</v>
      </c>
      <c r="G33" s="33">
        <v>20000</v>
      </c>
      <c r="H33" s="33">
        <v>20000</v>
      </c>
      <c r="I33" s="33">
        <v>20000</v>
      </c>
      <c r="J33" s="33">
        <v>20000</v>
      </c>
    </row>
    <row r="34" spans="1:10" ht="77.25" customHeight="1" x14ac:dyDescent="0.25">
      <c r="A34" s="57" t="s">
        <v>92</v>
      </c>
      <c r="B34" s="1" t="s">
        <v>5</v>
      </c>
      <c r="C34" s="1" t="s">
        <v>6</v>
      </c>
      <c r="D34" s="10">
        <f t="shared" si="9"/>
        <v>491993.36000000004</v>
      </c>
      <c r="E34" s="33">
        <f>4000*26-28440-6129.2</f>
        <v>69430.8</v>
      </c>
      <c r="F34" s="33">
        <f>156000-116000</f>
        <v>40000</v>
      </c>
      <c r="G34" s="33">
        <v>95640.639999999999</v>
      </c>
      <c r="H34" s="33">
        <v>95640.639999999999</v>
      </c>
      <c r="I34" s="33">
        <v>95640.639999999999</v>
      </c>
      <c r="J34" s="33">
        <v>95640.639999999999</v>
      </c>
    </row>
    <row r="35" spans="1:10" ht="79.5" customHeight="1" x14ac:dyDescent="0.25">
      <c r="A35" s="57" t="s">
        <v>24</v>
      </c>
      <c r="B35" s="1" t="s">
        <v>5</v>
      </c>
      <c r="C35" s="1" t="s">
        <v>6</v>
      </c>
      <c r="D35" s="10">
        <f t="shared" si="9"/>
        <v>0</v>
      </c>
      <c r="E35" s="19">
        <f>380462-380462</f>
        <v>0</v>
      </c>
      <c r="F35" s="19">
        <f>380462-380462</f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21.5" customHeight="1" x14ac:dyDescent="0.25">
      <c r="A36" s="57" t="s">
        <v>25</v>
      </c>
      <c r="B36" s="1" t="s">
        <v>5</v>
      </c>
      <c r="C36" s="1" t="s">
        <v>6</v>
      </c>
      <c r="D36" s="32" t="s">
        <v>7</v>
      </c>
      <c r="E36" s="20" t="s">
        <v>7</v>
      </c>
      <c r="F36" s="20" t="s">
        <v>7</v>
      </c>
      <c r="G36" s="20" t="s">
        <v>7</v>
      </c>
      <c r="H36" s="20" t="s">
        <v>7</v>
      </c>
      <c r="I36" s="20" t="s">
        <v>7</v>
      </c>
      <c r="J36" s="20" t="s">
        <v>7</v>
      </c>
    </row>
    <row r="37" spans="1:10" ht="158.25" customHeight="1" x14ac:dyDescent="0.25">
      <c r="A37" s="58" t="s">
        <v>32</v>
      </c>
      <c r="B37" s="30" t="s">
        <v>5</v>
      </c>
      <c r="C37" s="1" t="s">
        <v>6</v>
      </c>
      <c r="D37" s="32" t="s">
        <v>7</v>
      </c>
      <c r="E37" s="20" t="s">
        <v>7</v>
      </c>
      <c r="F37" s="20" t="s">
        <v>7</v>
      </c>
      <c r="G37" s="20" t="s">
        <v>7</v>
      </c>
      <c r="H37" s="20" t="s">
        <v>7</v>
      </c>
      <c r="I37" s="20" t="s">
        <v>7</v>
      </c>
      <c r="J37" s="20" t="s">
        <v>7</v>
      </c>
    </row>
    <row r="38" spans="1:10" ht="114" customHeight="1" x14ac:dyDescent="0.25">
      <c r="A38" s="58" t="s">
        <v>31</v>
      </c>
      <c r="B38" s="30" t="s">
        <v>5</v>
      </c>
      <c r="C38" s="1" t="s">
        <v>6</v>
      </c>
      <c r="D38" s="32" t="s">
        <v>7</v>
      </c>
      <c r="E38" s="20" t="s">
        <v>7</v>
      </c>
      <c r="F38" s="20" t="s">
        <v>7</v>
      </c>
      <c r="G38" s="20" t="s">
        <v>7</v>
      </c>
      <c r="H38" s="20" t="s">
        <v>7</v>
      </c>
      <c r="I38" s="20" t="s">
        <v>7</v>
      </c>
      <c r="J38" s="20" t="s">
        <v>7</v>
      </c>
    </row>
    <row r="39" spans="1:10" ht="104.25" customHeight="1" x14ac:dyDescent="0.25">
      <c r="A39" s="58" t="s">
        <v>74</v>
      </c>
      <c r="B39" s="30" t="s">
        <v>5</v>
      </c>
      <c r="C39" s="1" t="s">
        <v>6</v>
      </c>
      <c r="D39" s="10">
        <f t="shared" ref="D39:D46" si="10">SUM(E39:J39)</f>
        <v>0</v>
      </c>
      <c r="E39" s="39">
        <f>2000*2-4000</f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</row>
    <row r="40" spans="1:10" ht="96.75" customHeight="1" x14ac:dyDescent="0.25">
      <c r="A40" s="58" t="s">
        <v>75</v>
      </c>
      <c r="B40" s="30" t="s">
        <v>5</v>
      </c>
      <c r="C40" s="1" t="s">
        <v>6</v>
      </c>
      <c r="D40" s="10">
        <f t="shared" si="10"/>
        <v>867164.3</v>
      </c>
      <c r="E40" s="39">
        <f>10*5382.28</f>
        <v>53822.799999999996</v>
      </c>
      <c r="F40" s="39">
        <f>99572.18+50000-19952.28</f>
        <v>129619.9</v>
      </c>
      <c r="G40" s="39">
        <v>283430.40000000002</v>
      </c>
      <c r="H40" s="39">
        <v>133430.39999999999</v>
      </c>
      <c r="I40" s="39">
        <v>133430.39999999999</v>
      </c>
      <c r="J40" s="39">
        <v>133430.39999999999</v>
      </c>
    </row>
    <row r="41" spans="1:10" ht="114" customHeight="1" x14ac:dyDescent="0.25">
      <c r="A41" s="58" t="s">
        <v>109</v>
      </c>
      <c r="B41" s="30" t="s">
        <v>5</v>
      </c>
      <c r="C41" s="1" t="s">
        <v>6</v>
      </c>
      <c r="D41" s="10">
        <f t="shared" si="10"/>
        <v>2861600</v>
      </c>
      <c r="E41" s="39">
        <v>0</v>
      </c>
      <c r="F41" s="39">
        <f>6823340-2823340-1138400</f>
        <v>2861600</v>
      </c>
      <c r="G41" s="39">
        <v>0</v>
      </c>
      <c r="H41" s="39">
        <v>0</v>
      </c>
      <c r="I41" s="39">
        <v>0</v>
      </c>
      <c r="J41" s="39">
        <v>0</v>
      </c>
    </row>
    <row r="42" spans="1:10" ht="99" customHeight="1" x14ac:dyDescent="0.25">
      <c r="A42" s="58" t="s">
        <v>115</v>
      </c>
      <c r="B42" s="30" t="s">
        <v>5</v>
      </c>
      <c r="C42" s="1" t="s">
        <v>6</v>
      </c>
      <c r="D42" s="10">
        <f t="shared" si="10"/>
        <v>716968.47</v>
      </c>
      <c r="E42" s="39">
        <v>0</v>
      </c>
      <c r="F42" s="39">
        <f>800000-83031.53</f>
        <v>716968.47</v>
      </c>
      <c r="G42" s="39">
        <v>0</v>
      </c>
      <c r="H42" s="39">
        <v>0</v>
      </c>
      <c r="I42" s="39">
        <v>0</v>
      </c>
      <c r="J42" s="39">
        <v>0</v>
      </c>
    </row>
    <row r="43" spans="1:10" ht="114" customHeight="1" x14ac:dyDescent="0.25">
      <c r="A43" s="58" t="s">
        <v>121</v>
      </c>
      <c r="B43" s="30" t="s">
        <v>5</v>
      </c>
      <c r="C43" s="1" t="s">
        <v>6</v>
      </c>
      <c r="D43" s="10">
        <f t="shared" si="10"/>
        <v>500000</v>
      </c>
      <c r="E43" s="39">
        <v>0</v>
      </c>
      <c r="F43" s="39">
        <v>0</v>
      </c>
      <c r="G43" s="39">
        <v>500000</v>
      </c>
      <c r="H43" s="39">
        <v>0</v>
      </c>
      <c r="I43" s="39">
        <v>0</v>
      </c>
      <c r="J43" s="39">
        <v>0</v>
      </c>
    </row>
    <row r="44" spans="1:10" ht="84" customHeight="1" x14ac:dyDescent="0.25">
      <c r="A44" s="57" t="s">
        <v>26</v>
      </c>
      <c r="B44" s="1" t="s">
        <v>5</v>
      </c>
      <c r="C44" s="1" t="s">
        <v>6</v>
      </c>
      <c r="D44" s="10">
        <f t="shared" si="10"/>
        <v>10452138.460000001</v>
      </c>
      <c r="E44" s="19">
        <f t="shared" ref="E44:J44" si="11">SUM(E45:E46)</f>
        <v>1059883.27</v>
      </c>
      <c r="F44" s="19">
        <f t="shared" si="11"/>
        <v>526197.83000000031</v>
      </c>
      <c r="G44" s="19">
        <f t="shared" si="11"/>
        <v>1841514.34</v>
      </c>
      <c r="H44" s="19">
        <f t="shared" si="11"/>
        <v>2341514.34</v>
      </c>
      <c r="I44" s="19">
        <f t="shared" si="11"/>
        <v>2341514.34</v>
      </c>
      <c r="J44" s="19">
        <f t="shared" si="11"/>
        <v>2341514.34</v>
      </c>
    </row>
    <row r="45" spans="1:10" ht="195.75" customHeight="1" x14ac:dyDescent="0.25">
      <c r="A45" s="59" t="s">
        <v>107</v>
      </c>
      <c r="B45" s="1" t="s">
        <v>5</v>
      </c>
      <c r="C45" s="1" t="s">
        <v>6</v>
      </c>
      <c r="D45" s="10">
        <f t="shared" si="10"/>
        <v>9753281.8599999994</v>
      </c>
      <c r="E45" s="33">
        <f>996262.92+1269.19</f>
        <v>997532.11</v>
      </c>
      <c r="F45" s="33">
        <f>6504790-662550-442954.88-2794017-326435.51-916786.74-900000-343.48</f>
        <v>461702.39000000036</v>
      </c>
      <c r="G45" s="33">
        <v>1698511.84</v>
      </c>
      <c r="H45" s="33">
        <v>2198511.84</v>
      </c>
      <c r="I45" s="33">
        <v>2198511.84</v>
      </c>
      <c r="J45" s="33">
        <v>2198511.84</v>
      </c>
    </row>
    <row r="46" spans="1:10" ht="93.75" customHeight="1" x14ac:dyDescent="0.25">
      <c r="A46" s="57" t="s">
        <v>76</v>
      </c>
      <c r="B46" s="1" t="s">
        <v>5</v>
      </c>
      <c r="C46" s="1" t="s">
        <v>6</v>
      </c>
      <c r="D46" s="10">
        <f t="shared" si="10"/>
        <v>698856.6</v>
      </c>
      <c r="E46" s="19">
        <f>144500+8696.63-92528.6+1683.13</f>
        <v>62351.159999999996</v>
      </c>
      <c r="F46" s="19">
        <f>144500-36999.07-43005.49</f>
        <v>64495.439999999995</v>
      </c>
      <c r="G46" s="19">
        <v>143002.5</v>
      </c>
      <c r="H46" s="19">
        <v>143002.5</v>
      </c>
      <c r="I46" s="19">
        <v>143002.5</v>
      </c>
      <c r="J46" s="19">
        <v>143002.5</v>
      </c>
    </row>
    <row r="47" spans="1:10" ht="39.75" customHeight="1" x14ac:dyDescent="0.25">
      <c r="A47" s="105" t="s">
        <v>12</v>
      </c>
      <c r="B47" s="95" t="s">
        <v>5</v>
      </c>
      <c r="C47" s="83" t="s">
        <v>52</v>
      </c>
      <c r="D47" s="10">
        <f>SUM(E47:J47)</f>
        <v>34852314.129999995</v>
      </c>
      <c r="E47" s="19">
        <f>E48+E49</f>
        <v>8929994.9000000004</v>
      </c>
      <c r="F47" s="19">
        <f>F48+F49</f>
        <v>5795806.9100000001</v>
      </c>
      <c r="G47" s="19">
        <f t="shared" ref="G47:J47" si="12">G48+G49</f>
        <v>4679128.08</v>
      </c>
      <c r="H47" s="19">
        <f t="shared" si="12"/>
        <v>5149128.08</v>
      </c>
      <c r="I47" s="19">
        <f t="shared" si="12"/>
        <v>5149128.08</v>
      </c>
      <c r="J47" s="19">
        <f t="shared" si="12"/>
        <v>5149128.08</v>
      </c>
    </row>
    <row r="48" spans="1:10" ht="38.25" customHeight="1" x14ac:dyDescent="0.25">
      <c r="A48" s="106"/>
      <c r="B48" s="96"/>
      <c r="C48" s="83" t="s">
        <v>6</v>
      </c>
      <c r="D48" s="10">
        <f>D50+D53+D54+D55+D57+D59+D60+D61</f>
        <v>31280208.239999998</v>
      </c>
      <c r="E48" s="19">
        <f>E50+E53+E54+E55+E57+E59+E60</f>
        <v>5357889.01</v>
      </c>
      <c r="F48" s="19">
        <f t="shared" ref="F48:J48" si="13">F50+F53+F54+F55+F57+F59+F60</f>
        <v>5795806.9100000001</v>
      </c>
      <c r="G48" s="19">
        <f>G50+G53+G54+G55+G57+G59+G60+G61</f>
        <v>4679128.08</v>
      </c>
      <c r="H48" s="19">
        <f t="shared" si="13"/>
        <v>5149128.08</v>
      </c>
      <c r="I48" s="19">
        <f t="shared" si="13"/>
        <v>5149128.08</v>
      </c>
      <c r="J48" s="19">
        <f t="shared" si="13"/>
        <v>5149128.08</v>
      </c>
    </row>
    <row r="49" spans="1:10" ht="39.75" customHeight="1" x14ac:dyDescent="0.25">
      <c r="A49" s="107"/>
      <c r="B49" s="97"/>
      <c r="C49" s="83" t="s">
        <v>87</v>
      </c>
      <c r="D49" s="10">
        <f>D58</f>
        <v>3572105.89</v>
      </c>
      <c r="E49" s="19">
        <f t="shared" ref="E49:J49" si="14">E58</f>
        <v>3572105.89</v>
      </c>
      <c r="F49" s="19">
        <f t="shared" si="14"/>
        <v>0</v>
      </c>
      <c r="G49" s="19">
        <f t="shared" si="14"/>
        <v>0</v>
      </c>
      <c r="H49" s="19">
        <f t="shared" si="14"/>
        <v>0</v>
      </c>
      <c r="I49" s="19">
        <f t="shared" si="14"/>
        <v>0</v>
      </c>
      <c r="J49" s="19">
        <f t="shared" si="14"/>
        <v>0</v>
      </c>
    </row>
    <row r="50" spans="1:10" ht="30" customHeight="1" x14ac:dyDescent="0.25">
      <c r="A50" s="105" t="s">
        <v>27</v>
      </c>
      <c r="B50" s="40"/>
      <c r="C50" s="1" t="s">
        <v>52</v>
      </c>
      <c r="D50" s="10">
        <f t="shared" ref="D50:D66" si="15">SUM(E50:J50)</f>
        <v>11097279.82</v>
      </c>
      <c r="E50" s="19">
        <f>E51+E52</f>
        <v>2063208.5899999999</v>
      </c>
      <c r="F50" s="19">
        <f>F51+F52</f>
        <v>3330133.05</v>
      </c>
      <c r="G50" s="19">
        <f t="shared" ref="G50:J50" si="16">G51+G52</f>
        <v>1435525.82</v>
      </c>
      <c r="H50" s="19">
        <f t="shared" si="16"/>
        <v>1422804.12</v>
      </c>
      <c r="I50" s="19">
        <f t="shared" si="16"/>
        <v>1422804.12</v>
      </c>
      <c r="J50" s="19">
        <f t="shared" si="16"/>
        <v>1422804.12</v>
      </c>
    </row>
    <row r="51" spans="1:10" ht="84.75" customHeight="1" x14ac:dyDescent="0.25">
      <c r="A51" s="106"/>
      <c r="B51" s="81" t="s">
        <v>5</v>
      </c>
      <c r="C51" s="82" t="s">
        <v>6</v>
      </c>
      <c r="D51" s="10">
        <f t="shared" si="15"/>
        <v>9053841.6000000015</v>
      </c>
      <c r="E51" s="19">
        <f>1407602.69+36457.68</f>
        <v>1444060.3699999999</v>
      </c>
      <c r="F51" s="19">
        <f>1189294.77+654400+610600-241628.45-262393.3-44429.97</f>
        <v>1905843.0499999998</v>
      </c>
      <c r="G51" s="19">
        <v>1435525.82</v>
      </c>
      <c r="H51" s="19">
        <v>1422804.12</v>
      </c>
      <c r="I51" s="19">
        <v>1422804.12</v>
      </c>
      <c r="J51" s="19">
        <v>1422804.12</v>
      </c>
    </row>
    <row r="52" spans="1:10" ht="57.75" customHeight="1" x14ac:dyDescent="0.25">
      <c r="A52" s="107"/>
      <c r="B52" s="1" t="s">
        <v>90</v>
      </c>
      <c r="C52" s="82" t="s">
        <v>6</v>
      </c>
      <c r="D52" s="10">
        <f t="shared" si="15"/>
        <v>2043438.22</v>
      </c>
      <c r="E52" s="19">
        <v>619148.22</v>
      </c>
      <c r="F52" s="19">
        <f>1636390-212100</f>
        <v>1424290</v>
      </c>
      <c r="G52" s="19">
        <v>0</v>
      </c>
      <c r="H52" s="19">
        <v>0</v>
      </c>
      <c r="I52" s="19">
        <v>0</v>
      </c>
      <c r="J52" s="19">
        <v>0</v>
      </c>
    </row>
    <row r="53" spans="1:10" ht="90" customHeight="1" x14ac:dyDescent="0.25">
      <c r="A53" s="57" t="s">
        <v>77</v>
      </c>
      <c r="B53" s="1" t="s">
        <v>5</v>
      </c>
      <c r="C53" s="1" t="s">
        <v>6</v>
      </c>
      <c r="D53" s="10">
        <f t="shared" si="15"/>
        <v>1960890.1600000001</v>
      </c>
      <c r="E53" s="33">
        <v>662817.76</v>
      </c>
      <c r="F53" s="33">
        <f>239040-104370</f>
        <v>134670</v>
      </c>
      <c r="G53" s="33">
        <v>365850.6</v>
      </c>
      <c r="H53" s="33">
        <v>265850.59999999998</v>
      </c>
      <c r="I53" s="33">
        <v>265850.59999999998</v>
      </c>
      <c r="J53" s="33">
        <v>265850.59999999998</v>
      </c>
    </row>
    <row r="54" spans="1:10" ht="94.5" customHeight="1" x14ac:dyDescent="0.25">
      <c r="A54" s="57" t="s">
        <v>78</v>
      </c>
      <c r="B54" s="1" t="s">
        <v>5</v>
      </c>
      <c r="C54" s="31" t="s">
        <v>6</v>
      </c>
      <c r="D54" s="10">
        <f t="shared" si="15"/>
        <v>16564434.169999998</v>
      </c>
      <c r="E54" s="33">
        <f>2091009.55-114910</f>
        <v>1976099.55</v>
      </c>
      <c r="F54" s="33">
        <f>2569100+8150-167645.12+233980-527422</f>
        <v>2116162.88</v>
      </c>
      <c r="G54" s="33">
        <v>2090751.66</v>
      </c>
      <c r="H54" s="33">
        <v>3460473.36</v>
      </c>
      <c r="I54" s="33">
        <v>3460473.36</v>
      </c>
      <c r="J54" s="33">
        <v>3460473.36</v>
      </c>
    </row>
    <row r="55" spans="1:10" ht="99" customHeight="1" x14ac:dyDescent="0.25">
      <c r="A55" s="57" t="s">
        <v>91</v>
      </c>
      <c r="B55" s="1" t="s">
        <v>90</v>
      </c>
      <c r="C55" s="31" t="s">
        <v>6</v>
      </c>
      <c r="D55" s="10">
        <f t="shared" si="15"/>
        <v>122000</v>
      </c>
      <c r="E55" s="33">
        <f>120000+2000</f>
        <v>122000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</row>
    <row r="56" spans="1:10" ht="32.25" customHeight="1" x14ac:dyDescent="0.25">
      <c r="A56" s="92" t="s">
        <v>94</v>
      </c>
      <c r="B56" s="95" t="s">
        <v>90</v>
      </c>
      <c r="C56" s="82" t="s">
        <v>52</v>
      </c>
      <c r="D56" s="10">
        <f t="shared" si="15"/>
        <v>4105869</v>
      </c>
      <c r="E56" s="33">
        <f>E57+E58</f>
        <v>4105869</v>
      </c>
      <c r="F56" s="33">
        <f>F57+F58</f>
        <v>0</v>
      </c>
      <c r="G56" s="33">
        <f t="shared" ref="G56:J56" si="17">G57+G58</f>
        <v>0</v>
      </c>
      <c r="H56" s="33">
        <f t="shared" si="17"/>
        <v>0</v>
      </c>
      <c r="I56" s="33">
        <f t="shared" si="17"/>
        <v>0</v>
      </c>
      <c r="J56" s="33">
        <f t="shared" si="17"/>
        <v>0</v>
      </c>
    </row>
    <row r="57" spans="1:10" ht="42" customHeight="1" x14ac:dyDescent="0.25">
      <c r="A57" s="93"/>
      <c r="B57" s="96"/>
      <c r="C57" s="82" t="s">
        <v>6</v>
      </c>
      <c r="D57" s="10">
        <f t="shared" si="15"/>
        <v>533763.1100000001</v>
      </c>
      <c r="E57" s="33">
        <f>643500.17-109737.06</f>
        <v>533763.1100000001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</row>
    <row r="58" spans="1:10" ht="33" customHeight="1" x14ac:dyDescent="0.25">
      <c r="A58" s="94"/>
      <c r="B58" s="97"/>
      <c r="C58" s="82" t="s">
        <v>87</v>
      </c>
      <c r="D58" s="10">
        <f t="shared" si="15"/>
        <v>3572105.89</v>
      </c>
      <c r="E58" s="33">
        <f>4306499.83-734393.94</f>
        <v>3572105.89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</row>
    <row r="59" spans="1:10" ht="78" customHeight="1" x14ac:dyDescent="0.25">
      <c r="A59" s="60" t="s">
        <v>93</v>
      </c>
      <c r="B59" s="1" t="s">
        <v>5</v>
      </c>
      <c r="C59" s="31" t="s">
        <v>6</v>
      </c>
      <c r="D59" s="10">
        <f t="shared" si="15"/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</row>
    <row r="60" spans="1:10" ht="112.5" customHeight="1" x14ac:dyDescent="0.25">
      <c r="A60" s="61" t="s">
        <v>110</v>
      </c>
      <c r="B60" s="55" t="s">
        <v>5</v>
      </c>
      <c r="C60" s="31" t="s">
        <v>6</v>
      </c>
      <c r="D60" s="10">
        <f t="shared" si="15"/>
        <v>214840.98</v>
      </c>
      <c r="E60" s="33">
        <v>0</v>
      </c>
      <c r="F60" s="33">
        <f>255403.79-40562.81</f>
        <v>214840.98</v>
      </c>
      <c r="G60" s="33">
        <v>0</v>
      </c>
      <c r="H60" s="33">
        <v>0</v>
      </c>
      <c r="I60" s="33">
        <v>0</v>
      </c>
      <c r="J60" s="33">
        <v>0</v>
      </c>
    </row>
    <row r="61" spans="1:10" ht="88.5" customHeight="1" x14ac:dyDescent="0.25">
      <c r="A61" s="61" t="s">
        <v>122</v>
      </c>
      <c r="B61" s="55" t="s">
        <v>5</v>
      </c>
      <c r="C61" s="31" t="s">
        <v>6</v>
      </c>
      <c r="D61" s="10">
        <f t="shared" si="15"/>
        <v>787000</v>
      </c>
      <c r="E61" s="33">
        <v>0</v>
      </c>
      <c r="F61" s="33">
        <v>0</v>
      </c>
      <c r="G61" s="33">
        <v>787000</v>
      </c>
      <c r="H61" s="33">
        <v>0</v>
      </c>
      <c r="I61" s="33">
        <v>0</v>
      </c>
      <c r="J61" s="33">
        <v>0</v>
      </c>
    </row>
    <row r="62" spans="1:10" ht="80.25" customHeight="1" x14ac:dyDescent="0.25">
      <c r="A62" s="57" t="s">
        <v>13</v>
      </c>
      <c r="B62" s="1" t="s">
        <v>5</v>
      </c>
      <c r="C62" s="1" t="s">
        <v>6</v>
      </c>
      <c r="D62" s="10">
        <f t="shared" si="15"/>
        <v>109513701.66</v>
      </c>
      <c r="E62" s="19">
        <f>SUM(E63:E66)</f>
        <v>14664066.210000001</v>
      </c>
      <c r="F62" s="19">
        <f>SUM(F63:F66)</f>
        <v>18889782.289999999</v>
      </c>
      <c r="G62" s="19">
        <f t="shared" ref="G62:J62" si="18">SUM(G63:G66)</f>
        <v>18989963.289999999</v>
      </c>
      <c r="H62" s="19">
        <f t="shared" si="18"/>
        <v>18989963.289999999</v>
      </c>
      <c r="I62" s="19">
        <f t="shared" si="18"/>
        <v>18989963.289999999</v>
      </c>
      <c r="J62" s="19">
        <f t="shared" si="18"/>
        <v>18989963.289999999</v>
      </c>
    </row>
    <row r="63" spans="1:10" ht="85.5" customHeight="1" x14ac:dyDescent="0.25">
      <c r="A63" s="57" t="s">
        <v>28</v>
      </c>
      <c r="B63" s="1" t="s">
        <v>5</v>
      </c>
      <c r="C63" s="1" t="s">
        <v>6</v>
      </c>
      <c r="D63" s="10">
        <f t="shared" si="15"/>
        <v>106577881.55999997</v>
      </c>
      <c r="E63" s="34">
        <v>13961599.640000001</v>
      </c>
      <c r="F63" s="34">
        <f>15858711.68+2834159.61-848074.53</f>
        <v>17844796.759999998</v>
      </c>
      <c r="G63" s="34">
        <v>18692871.289999999</v>
      </c>
      <c r="H63" s="34">
        <v>18692871.289999999</v>
      </c>
      <c r="I63" s="34">
        <v>18692871.289999999</v>
      </c>
      <c r="J63" s="34">
        <v>18692871.289999999</v>
      </c>
    </row>
    <row r="64" spans="1:10" ht="80.25" customHeight="1" x14ac:dyDescent="0.25">
      <c r="A64" s="57" t="s">
        <v>79</v>
      </c>
      <c r="B64" s="1" t="s">
        <v>5</v>
      </c>
      <c r="C64" s="1" t="s">
        <v>6</v>
      </c>
      <c r="D64" s="10">
        <f t="shared" si="15"/>
        <v>1736426</v>
      </c>
      <c r="E64" s="34">
        <f>174486</f>
        <v>174486</v>
      </c>
      <c r="F64" s="34">
        <f>385900-12328</f>
        <v>373572</v>
      </c>
      <c r="G64" s="34">
        <v>297092</v>
      </c>
      <c r="H64" s="34">
        <v>297092</v>
      </c>
      <c r="I64" s="34">
        <v>297092</v>
      </c>
      <c r="J64" s="34">
        <v>297092</v>
      </c>
    </row>
    <row r="65" spans="1:10" ht="102" customHeight="1" x14ac:dyDescent="0.25">
      <c r="A65" s="57" t="s">
        <v>113</v>
      </c>
      <c r="B65" s="1" t="s">
        <v>5</v>
      </c>
      <c r="C65" s="1" t="s">
        <v>6</v>
      </c>
      <c r="D65" s="12">
        <f t="shared" si="15"/>
        <v>5600</v>
      </c>
      <c r="E65" s="21">
        <v>0</v>
      </c>
      <c r="F65" s="21">
        <v>5600</v>
      </c>
      <c r="G65" s="21">
        <v>0</v>
      </c>
      <c r="H65" s="21">
        <v>0</v>
      </c>
      <c r="I65" s="21">
        <v>0</v>
      </c>
      <c r="J65" s="21">
        <v>0</v>
      </c>
    </row>
    <row r="66" spans="1:10" ht="111.75" customHeight="1" x14ac:dyDescent="0.25">
      <c r="A66" s="57" t="s">
        <v>38</v>
      </c>
      <c r="B66" s="1" t="s">
        <v>5</v>
      </c>
      <c r="C66" s="1" t="s">
        <v>6</v>
      </c>
      <c r="D66" s="12">
        <f t="shared" si="15"/>
        <v>1193794.1000000001</v>
      </c>
      <c r="E66" s="21">
        <f>452480.57+75500</f>
        <v>527980.57000000007</v>
      </c>
      <c r="F66" s="21">
        <f>145000+557910.85-37097.32</f>
        <v>665813.53</v>
      </c>
      <c r="G66" s="21">
        <v>0</v>
      </c>
      <c r="H66" s="21">
        <v>0</v>
      </c>
      <c r="I66" s="21">
        <v>0</v>
      </c>
      <c r="J66" s="21">
        <v>0</v>
      </c>
    </row>
    <row r="67" spans="1:10" ht="38.25" customHeight="1" x14ac:dyDescent="0.25">
      <c r="A67" s="114" t="s">
        <v>63</v>
      </c>
      <c r="B67" s="117" t="s">
        <v>84</v>
      </c>
      <c r="C67" s="43" t="s">
        <v>52</v>
      </c>
      <c r="D67" s="54">
        <f t="shared" ref="D67:D69" si="19">SUM(E67:J67)</f>
        <v>1052163312.5399997</v>
      </c>
      <c r="E67" s="18">
        <f>E72+E79+E96+E101+E102+E103+E104+E105+E106+E107+E108</f>
        <v>143413098.41</v>
      </c>
      <c r="F67" s="79">
        <f>F72+F79+F96+F101+F102+F103+F104+F105+F106+F107+F108+F111+F112+F113</f>
        <v>189662549.77000001</v>
      </c>
      <c r="G67" s="18">
        <f>G72+G79+G96+G101+G102+G103+G104+G105+G106+G107+G108+G111+G112+G113</f>
        <v>176710812.09</v>
      </c>
      <c r="H67" s="18">
        <f t="shared" ref="H67:J67" si="20">H72+H79+H96+H101+H102+H103+H104+H105+H106+H107+H108+H111+H112+H113</f>
        <v>183992284.08999997</v>
      </c>
      <c r="I67" s="18">
        <f t="shared" si="20"/>
        <v>179192284.08999997</v>
      </c>
      <c r="J67" s="18">
        <f t="shared" si="20"/>
        <v>179192284.08999997</v>
      </c>
    </row>
    <row r="68" spans="1:10" ht="38.25" customHeight="1" x14ac:dyDescent="0.25">
      <c r="A68" s="115"/>
      <c r="B68" s="118"/>
      <c r="C68" s="82" t="s">
        <v>6</v>
      </c>
      <c r="D68" s="54">
        <f t="shared" si="19"/>
        <v>1015341283.2399998</v>
      </c>
      <c r="E68" s="18">
        <f>E72+E79+E96+E101+E102+E103+E104+E105+E106+E107+E109+E111+E112+E114</f>
        <v>143413098.41</v>
      </c>
      <c r="F68" s="18">
        <f t="shared" ref="F68:J68" si="21">F72+F79+F96+F101+F102+F103+F104+F105+F106+F107+F109+F111+F112+F114</f>
        <v>182840520.47000003</v>
      </c>
      <c r="G68" s="18">
        <f t="shared" si="21"/>
        <v>176710812.09</v>
      </c>
      <c r="H68" s="18">
        <f t="shared" si="21"/>
        <v>173992284.08999997</v>
      </c>
      <c r="I68" s="18">
        <f t="shared" si="21"/>
        <v>169192284.08999997</v>
      </c>
      <c r="J68" s="18">
        <f t="shared" si="21"/>
        <v>169192284.08999997</v>
      </c>
    </row>
    <row r="69" spans="1:10" ht="38.25" customHeight="1" x14ac:dyDescent="0.25">
      <c r="A69" s="116"/>
      <c r="B69" s="119"/>
      <c r="C69" s="82" t="s">
        <v>87</v>
      </c>
      <c r="D69" s="54">
        <f t="shared" si="19"/>
        <v>36822029.299999997</v>
      </c>
      <c r="E69" s="18">
        <f>E110+E115</f>
        <v>0</v>
      </c>
      <c r="F69" s="79">
        <f t="shared" ref="F69:J69" si="22">F110+F115</f>
        <v>6822029.2999999998</v>
      </c>
      <c r="G69" s="18">
        <f t="shared" si="22"/>
        <v>0</v>
      </c>
      <c r="H69" s="18">
        <f t="shared" si="22"/>
        <v>10000000</v>
      </c>
      <c r="I69" s="18">
        <f t="shared" si="22"/>
        <v>10000000</v>
      </c>
      <c r="J69" s="18">
        <f t="shared" si="22"/>
        <v>10000000</v>
      </c>
    </row>
    <row r="70" spans="1:10" ht="87.75" customHeight="1" x14ac:dyDescent="0.25">
      <c r="A70" s="62" t="s">
        <v>29</v>
      </c>
      <c r="B70" s="3" t="s">
        <v>69</v>
      </c>
      <c r="C70" s="1" t="s">
        <v>6</v>
      </c>
      <c r="D70" s="32" t="s">
        <v>7</v>
      </c>
      <c r="E70" s="20" t="s">
        <v>7</v>
      </c>
      <c r="F70" s="20" t="s">
        <v>7</v>
      </c>
      <c r="G70" s="20" t="s">
        <v>7</v>
      </c>
      <c r="H70" s="20" t="s">
        <v>7</v>
      </c>
      <c r="I70" s="20" t="s">
        <v>7</v>
      </c>
      <c r="J70" s="20" t="s">
        <v>7</v>
      </c>
    </row>
    <row r="71" spans="1:10" ht="104.25" customHeight="1" x14ac:dyDescent="0.25">
      <c r="A71" s="63" t="s">
        <v>44</v>
      </c>
      <c r="B71" s="3" t="s">
        <v>46</v>
      </c>
      <c r="C71" s="1" t="s">
        <v>6</v>
      </c>
      <c r="D71" s="32" t="s">
        <v>7</v>
      </c>
      <c r="E71" s="20" t="s">
        <v>7</v>
      </c>
      <c r="F71" s="20" t="s">
        <v>7</v>
      </c>
      <c r="G71" s="20" t="s">
        <v>7</v>
      </c>
      <c r="H71" s="20" t="s">
        <v>7</v>
      </c>
      <c r="I71" s="20" t="s">
        <v>7</v>
      </c>
      <c r="J71" s="20" t="s">
        <v>7</v>
      </c>
    </row>
    <row r="72" spans="1:10" ht="162" customHeight="1" x14ac:dyDescent="0.25">
      <c r="A72" s="64" t="s">
        <v>30</v>
      </c>
      <c r="B72" s="3" t="s">
        <v>47</v>
      </c>
      <c r="C72" s="1" t="s">
        <v>52</v>
      </c>
      <c r="D72" s="13">
        <f>SUM(D73:D78)</f>
        <v>29154013</v>
      </c>
      <c r="E72" s="22">
        <f>SUM(E73:E78)</f>
        <v>5475970</v>
      </c>
      <c r="F72" s="22">
        <f>SUM(F73:F78)</f>
        <v>7867873</v>
      </c>
      <c r="G72" s="22">
        <f t="shared" ref="G72:J72" si="23">SUM(G73:G78)</f>
        <v>4810170</v>
      </c>
      <c r="H72" s="22">
        <f t="shared" si="23"/>
        <v>5000000</v>
      </c>
      <c r="I72" s="22">
        <f t="shared" si="23"/>
        <v>3000000</v>
      </c>
      <c r="J72" s="22">
        <f t="shared" si="23"/>
        <v>3000000</v>
      </c>
    </row>
    <row r="73" spans="1:10" ht="99" customHeight="1" x14ac:dyDescent="0.25">
      <c r="A73" s="63" t="s">
        <v>67</v>
      </c>
      <c r="B73" s="3" t="s">
        <v>47</v>
      </c>
      <c r="C73" s="1" t="s">
        <v>6</v>
      </c>
      <c r="D73" s="11">
        <f>SUM(E73:J73)</f>
        <v>26809013</v>
      </c>
      <c r="E73" s="22">
        <v>3130970</v>
      </c>
      <c r="F73" s="22">
        <f>2525970-299000+3300000+2299000+41903</f>
        <v>7867873</v>
      </c>
      <c r="G73" s="22">
        <v>4810170</v>
      </c>
      <c r="H73" s="22">
        <v>5000000</v>
      </c>
      <c r="I73" s="22">
        <v>3000000</v>
      </c>
      <c r="J73" s="22">
        <v>3000000</v>
      </c>
    </row>
    <row r="74" spans="1:10" ht="120" customHeight="1" x14ac:dyDescent="0.25">
      <c r="A74" s="64" t="s">
        <v>116</v>
      </c>
      <c r="B74" s="3" t="s">
        <v>68</v>
      </c>
      <c r="C74" s="1" t="s">
        <v>6</v>
      </c>
      <c r="D74" s="13">
        <f t="shared" ref="D74:D95" si="24">SUM(E74:J74)</f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</row>
    <row r="75" spans="1:10" ht="174.75" customHeight="1" x14ac:dyDescent="0.25">
      <c r="A75" s="64" t="s">
        <v>117</v>
      </c>
      <c r="B75" s="3" t="s">
        <v>68</v>
      </c>
      <c r="C75" s="1" t="s">
        <v>6</v>
      </c>
      <c r="D75" s="13">
        <f t="shared" si="24"/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</row>
    <row r="76" spans="1:10" ht="119.25" customHeight="1" x14ac:dyDescent="0.25">
      <c r="A76" s="64" t="s">
        <v>118</v>
      </c>
      <c r="B76" s="3" t="s">
        <v>47</v>
      </c>
      <c r="C76" s="1" t="s">
        <v>6</v>
      </c>
      <c r="D76" s="13">
        <f t="shared" si="24"/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</row>
    <row r="77" spans="1:10" ht="126.75" customHeight="1" x14ac:dyDescent="0.25">
      <c r="A77" s="64" t="s">
        <v>108</v>
      </c>
      <c r="B77" s="3" t="s">
        <v>47</v>
      </c>
      <c r="C77" s="1" t="s">
        <v>6</v>
      </c>
      <c r="D77" s="13">
        <f t="shared" si="24"/>
        <v>95000</v>
      </c>
      <c r="E77" s="22">
        <v>95000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</row>
    <row r="78" spans="1:10" ht="126.75" customHeight="1" x14ac:dyDescent="0.25">
      <c r="A78" s="63" t="s">
        <v>100</v>
      </c>
      <c r="B78" s="3" t="s">
        <v>47</v>
      </c>
      <c r="C78" s="1" t="s">
        <v>6</v>
      </c>
      <c r="D78" s="13">
        <f t="shared" si="24"/>
        <v>2250000</v>
      </c>
      <c r="E78" s="22">
        <v>2250000</v>
      </c>
      <c r="F78" s="22">
        <f>299000-299000</f>
        <v>0</v>
      </c>
      <c r="G78" s="22">
        <v>0</v>
      </c>
      <c r="H78" s="22">
        <v>0</v>
      </c>
      <c r="I78" s="22">
        <v>0</v>
      </c>
      <c r="J78" s="22">
        <v>0</v>
      </c>
    </row>
    <row r="79" spans="1:10" ht="116.25" customHeight="1" x14ac:dyDescent="0.25">
      <c r="A79" s="105" t="s">
        <v>37</v>
      </c>
      <c r="B79" s="3" t="s">
        <v>33</v>
      </c>
      <c r="C79" s="1" t="s">
        <v>52</v>
      </c>
      <c r="D79" s="12">
        <f t="shared" si="24"/>
        <v>8829818.7199999988</v>
      </c>
      <c r="E79" s="21">
        <f t="shared" ref="E79:J79" si="25">E80+E81+E82</f>
        <v>1914038.92</v>
      </c>
      <c r="F79" s="21">
        <f t="shared" si="25"/>
        <v>1313129.8</v>
      </c>
      <c r="G79" s="21">
        <f t="shared" si="25"/>
        <v>1294650</v>
      </c>
      <c r="H79" s="21">
        <f t="shared" si="25"/>
        <v>1436000</v>
      </c>
      <c r="I79" s="21">
        <f t="shared" si="25"/>
        <v>1436000</v>
      </c>
      <c r="J79" s="21">
        <f t="shared" si="25"/>
        <v>1436000</v>
      </c>
    </row>
    <row r="80" spans="1:10" ht="18" customHeight="1" x14ac:dyDescent="0.3">
      <c r="A80" s="106"/>
      <c r="B80" s="2" t="s">
        <v>2</v>
      </c>
      <c r="C80" s="1" t="s">
        <v>6</v>
      </c>
      <c r="D80" s="12">
        <f t="shared" si="24"/>
        <v>7417178.7199999997</v>
      </c>
      <c r="E80" s="21">
        <f>E84+E88+E91+E94</f>
        <v>1629873.92</v>
      </c>
      <c r="F80" s="21">
        <f>F84+F88+F91+F94</f>
        <v>1087434.8</v>
      </c>
      <c r="G80" s="21">
        <f t="shared" ref="G80:J81" si="26">G84+G88+G91+G94</f>
        <v>1068955</v>
      </c>
      <c r="H80" s="21">
        <f t="shared" si="26"/>
        <v>1210305</v>
      </c>
      <c r="I80" s="21">
        <f t="shared" si="26"/>
        <v>1210305</v>
      </c>
      <c r="J80" s="21">
        <f t="shared" si="26"/>
        <v>1210305</v>
      </c>
    </row>
    <row r="81" spans="1:10" ht="16.5" customHeight="1" x14ac:dyDescent="0.3">
      <c r="A81" s="106"/>
      <c r="B81" s="2" t="s">
        <v>3</v>
      </c>
      <c r="C81" s="1" t="s">
        <v>6</v>
      </c>
      <c r="D81" s="12">
        <f t="shared" si="24"/>
        <v>1346220</v>
      </c>
      <c r="E81" s="21">
        <f>E85+E89+E92+E95</f>
        <v>273095</v>
      </c>
      <c r="F81" s="21">
        <f>F85+F89+F92+F95</f>
        <v>214625</v>
      </c>
      <c r="G81" s="21">
        <f t="shared" si="26"/>
        <v>214625</v>
      </c>
      <c r="H81" s="21">
        <f t="shared" si="26"/>
        <v>214625</v>
      </c>
      <c r="I81" s="21">
        <f t="shared" si="26"/>
        <v>214625</v>
      </c>
      <c r="J81" s="21">
        <f t="shared" si="26"/>
        <v>214625</v>
      </c>
    </row>
    <row r="82" spans="1:10" ht="16.5" customHeight="1" x14ac:dyDescent="0.25">
      <c r="A82" s="107"/>
      <c r="B82" s="1" t="s">
        <v>4</v>
      </c>
      <c r="C82" s="1" t="s">
        <v>6</v>
      </c>
      <c r="D82" s="12">
        <f t="shared" si="24"/>
        <v>66420</v>
      </c>
      <c r="E82" s="21">
        <f>E86</f>
        <v>11070</v>
      </c>
      <c r="F82" s="21">
        <f>F86</f>
        <v>11070</v>
      </c>
      <c r="G82" s="56">
        <f t="shared" ref="G82:J82" si="27">G86</f>
        <v>11070</v>
      </c>
      <c r="H82" s="56">
        <f t="shared" si="27"/>
        <v>11070</v>
      </c>
      <c r="I82" s="56">
        <f t="shared" si="27"/>
        <v>11070</v>
      </c>
      <c r="J82" s="56">
        <f t="shared" si="27"/>
        <v>11070</v>
      </c>
    </row>
    <row r="83" spans="1:10" ht="111.75" customHeight="1" x14ac:dyDescent="0.25">
      <c r="A83" s="105" t="s">
        <v>16</v>
      </c>
      <c r="B83" s="3" t="s">
        <v>33</v>
      </c>
      <c r="C83" s="1" t="s">
        <v>52</v>
      </c>
      <c r="D83" s="12">
        <f t="shared" si="24"/>
        <v>4566091.5199999996</v>
      </c>
      <c r="E83" s="21">
        <f t="shared" ref="E83:J83" si="28">E84+E85+E86</f>
        <v>1147429.92</v>
      </c>
      <c r="F83" s="21">
        <f t="shared" si="28"/>
        <v>609770</v>
      </c>
      <c r="G83" s="56">
        <f t="shared" si="28"/>
        <v>596210.4</v>
      </c>
      <c r="H83" s="56">
        <f t="shared" si="28"/>
        <v>737560.4</v>
      </c>
      <c r="I83" s="56">
        <f t="shared" si="28"/>
        <v>737560.4</v>
      </c>
      <c r="J83" s="56">
        <f t="shared" si="28"/>
        <v>737560.4</v>
      </c>
    </row>
    <row r="84" spans="1:10" ht="19.5" customHeight="1" x14ac:dyDescent="0.3">
      <c r="A84" s="106"/>
      <c r="B84" s="2" t="s">
        <v>2</v>
      </c>
      <c r="C84" s="1" t="s">
        <v>6</v>
      </c>
      <c r="D84" s="12">
        <f t="shared" si="24"/>
        <v>4213201.5199999996</v>
      </c>
      <c r="E84" s="21">
        <f>344850+264000+272800+262000-103760.08</f>
        <v>1039889.92</v>
      </c>
      <c r="F84" s="21">
        <f>344850+264000+272800-320950</f>
        <v>560700</v>
      </c>
      <c r="G84" s="56">
        <v>547140.4</v>
      </c>
      <c r="H84" s="56">
        <v>688490.4</v>
      </c>
      <c r="I84" s="56">
        <v>688490.4</v>
      </c>
      <c r="J84" s="56">
        <v>688490.4</v>
      </c>
    </row>
    <row r="85" spans="1:10" ht="19.5" customHeight="1" x14ac:dyDescent="0.3">
      <c r="A85" s="106"/>
      <c r="B85" s="2" t="s">
        <v>3</v>
      </c>
      <c r="C85" s="1" t="s">
        <v>6</v>
      </c>
      <c r="D85" s="12">
        <f t="shared" si="24"/>
        <v>286470</v>
      </c>
      <c r="E85" s="21">
        <v>96470</v>
      </c>
      <c r="F85" s="21">
        <f>96470-58470</f>
        <v>38000</v>
      </c>
      <c r="G85" s="56">
        <f>38000</f>
        <v>38000</v>
      </c>
      <c r="H85" s="56">
        <f>38000</f>
        <v>38000</v>
      </c>
      <c r="I85" s="56">
        <f>38000</f>
        <v>38000</v>
      </c>
      <c r="J85" s="56">
        <f>38000</f>
        <v>38000</v>
      </c>
    </row>
    <row r="86" spans="1:10" ht="19.5" customHeight="1" x14ac:dyDescent="0.25">
      <c r="A86" s="107"/>
      <c r="B86" s="1" t="s">
        <v>4</v>
      </c>
      <c r="C86" s="1" t="s">
        <v>6</v>
      </c>
      <c r="D86" s="12">
        <f t="shared" si="24"/>
        <v>66420</v>
      </c>
      <c r="E86" s="21">
        <v>11070</v>
      </c>
      <c r="F86" s="21">
        <v>11070</v>
      </c>
      <c r="G86" s="21">
        <v>11070</v>
      </c>
      <c r="H86" s="21">
        <v>11070</v>
      </c>
      <c r="I86" s="21">
        <v>11070</v>
      </c>
      <c r="J86" s="21">
        <v>11070</v>
      </c>
    </row>
    <row r="87" spans="1:10" ht="111" customHeight="1" x14ac:dyDescent="0.25">
      <c r="A87" s="105" t="s">
        <v>15</v>
      </c>
      <c r="B87" s="3" t="s">
        <v>85</v>
      </c>
      <c r="C87" s="1" t="s">
        <v>52</v>
      </c>
      <c r="D87" s="12">
        <f t="shared" si="24"/>
        <v>950277.2</v>
      </c>
      <c r="E87" s="21">
        <f>E88+E89</f>
        <v>169559</v>
      </c>
      <c r="F87" s="21">
        <f>F88+F89</f>
        <v>160079.79999999999</v>
      </c>
      <c r="G87" s="21">
        <f t="shared" ref="G87:J87" si="29">G88+G89</f>
        <v>155159.6</v>
      </c>
      <c r="H87" s="21">
        <f t="shared" si="29"/>
        <v>155159.6</v>
      </c>
      <c r="I87" s="21">
        <f t="shared" si="29"/>
        <v>155159.6</v>
      </c>
      <c r="J87" s="21">
        <f t="shared" si="29"/>
        <v>155159.6</v>
      </c>
    </row>
    <row r="88" spans="1:10" ht="30" customHeight="1" x14ac:dyDescent="0.3">
      <c r="A88" s="106"/>
      <c r="B88" s="2" t="s">
        <v>2</v>
      </c>
      <c r="C88" s="1" t="s">
        <v>6</v>
      </c>
      <c r="D88" s="12">
        <f t="shared" si="24"/>
        <v>742527.2</v>
      </c>
      <c r="E88" s="21">
        <f>84534.6+50399.4</f>
        <v>134934</v>
      </c>
      <c r="F88" s="21">
        <f>84534.6+40920.2</f>
        <v>125454.8</v>
      </c>
      <c r="G88" s="21">
        <f>84534.6+36000</f>
        <v>120534.6</v>
      </c>
      <c r="H88" s="21">
        <f t="shared" ref="H88:J88" si="30">84534.6+36000</f>
        <v>120534.6</v>
      </c>
      <c r="I88" s="21">
        <f t="shared" si="30"/>
        <v>120534.6</v>
      </c>
      <c r="J88" s="21">
        <f t="shared" si="30"/>
        <v>120534.6</v>
      </c>
    </row>
    <row r="89" spans="1:10" ht="30" customHeight="1" x14ac:dyDescent="0.3">
      <c r="A89" s="107"/>
      <c r="B89" s="2" t="s">
        <v>3</v>
      </c>
      <c r="C89" s="1" t="s">
        <v>6</v>
      </c>
      <c r="D89" s="12">
        <f t="shared" si="24"/>
        <v>207750</v>
      </c>
      <c r="E89" s="21">
        <v>34625</v>
      </c>
      <c r="F89" s="21">
        <v>34625</v>
      </c>
      <c r="G89" s="21">
        <v>34625</v>
      </c>
      <c r="H89" s="21">
        <v>34625</v>
      </c>
      <c r="I89" s="21">
        <v>34625</v>
      </c>
      <c r="J89" s="21">
        <v>34625</v>
      </c>
    </row>
    <row r="90" spans="1:10" ht="115.5" customHeight="1" x14ac:dyDescent="0.25">
      <c r="A90" s="105" t="s">
        <v>17</v>
      </c>
      <c r="B90" s="3" t="s">
        <v>81</v>
      </c>
      <c r="C90" s="1" t="s">
        <v>52</v>
      </c>
      <c r="D90" s="12">
        <f t="shared" si="24"/>
        <v>3133450</v>
      </c>
      <c r="E90" s="21">
        <f>E91+E92</f>
        <v>567050</v>
      </c>
      <c r="F90" s="21">
        <f>F91+F92</f>
        <v>513280</v>
      </c>
      <c r="G90" s="21">
        <f t="shared" ref="G90:J90" si="31">G91+G92</f>
        <v>513280</v>
      </c>
      <c r="H90" s="21">
        <f t="shared" si="31"/>
        <v>513280</v>
      </c>
      <c r="I90" s="21">
        <f t="shared" si="31"/>
        <v>513280</v>
      </c>
      <c r="J90" s="21">
        <f t="shared" si="31"/>
        <v>513280</v>
      </c>
    </row>
    <row r="91" spans="1:10" ht="24.75" customHeight="1" x14ac:dyDescent="0.3">
      <c r="A91" s="106"/>
      <c r="B91" s="2" t="s">
        <v>2</v>
      </c>
      <c r="C91" s="1" t="s">
        <v>6</v>
      </c>
      <c r="D91" s="12">
        <f t="shared" si="24"/>
        <v>2317450</v>
      </c>
      <c r="E91" s="21">
        <f>377280+53770</f>
        <v>431050</v>
      </c>
      <c r="F91" s="21">
        <v>377280</v>
      </c>
      <c r="G91" s="21">
        <v>377280</v>
      </c>
      <c r="H91" s="21">
        <v>377280</v>
      </c>
      <c r="I91" s="21">
        <v>377280</v>
      </c>
      <c r="J91" s="21">
        <v>377280</v>
      </c>
    </row>
    <row r="92" spans="1:10" ht="21.75" customHeight="1" x14ac:dyDescent="0.3">
      <c r="A92" s="107"/>
      <c r="B92" s="2" t="s">
        <v>3</v>
      </c>
      <c r="C92" s="1" t="s">
        <v>6</v>
      </c>
      <c r="D92" s="12">
        <f t="shared" si="24"/>
        <v>816000</v>
      </c>
      <c r="E92" s="21">
        <v>136000</v>
      </c>
      <c r="F92" s="21">
        <v>136000</v>
      </c>
      <c r="G92" s="21">
        <v>136000</v>
      </c>
      <c r="H92" s="21">
        <v>136000</v>
      </c>
      <c r="I92" s="21">
        <v>136000</v>
      </c>
      <c r="J92" s="21">
        <v>136000</v>
      </c>
    </row>
    <row r="93" spans="1:10" ht="84.75" customHeight="1" x14ac:dyDescent="0.25">
      <c r="A93" s="89" t="s">
        <v>18</v>
      </c>
      <c r="B93" s="3" t="s">
        <v>81</v>
      </c>
      <c r="C93" s="1" t="s">
        <v>52</v>
      </c>
      <c r="D93" s="12">
        <f t="shared" si="24"/>
        <v>180000</v>
      </c>
      <c r="E93" s="21">
        <f>E94+E95</f>
        <v>30000</v>
      </c>
      <c r="F93" s="21">
        <f>F94+F95</f>
        <v>30000</v>
      </c>
      <c r="G93" s="21">
        <f t="shared" ref="G93:J93" si="32">G94+G95</f>
        <v>30000</v>
      </c>
      <c r="H93" s="21">
        <f t="shared" si="32"/>
        <v>30000</v>
      </c>
      <c r="I93" s="21">
        <f t="shared" si="32"/>
        <v>30000</v>
      </c>
      <c r="J93" s="21">
        <f t="shared" si="32"/>
        <v>30000</v>
      </c>
    </row>
    <row r="94" spans="1:10" ht="32.25" customHeight="1" x14ac:dyDescent="0.3">
      <c r="A94" s="90"/>
      <c r="B94" s="2" t="s">
        <v>2</v>
      </c>
      <c r="C94" s="1" t="s">
        <v>6</v>
      </c>
      <c r="D94" s="12">
        <f t="shared" si="24"/>
        <v>144000</v>
      </c>
      <c r="E94" s="21">
        <v>24000</v>
      </c>
      <c r="F94" s="21">
        <v>24000</v>
      </c>
      <c r="G94" s="21">
        <v>24000</v>
      </c>
      <c r="H94" s="21">
        <v>24000</v>
      </c>
      <c r="I94" s="21">
        <v>24000</v>
      </c>
      <c r="J94" s="21">
        <v>24000</v>
      </c>
    </row>
    <row r="95" spans="1:10" ht="32.25" customHeight="1" x14ac:dyDescent="0.3">
      <c r="A95" s="91"/>
      <c r="B95" s="2" t="s">
        <v>3</v>
      </c>
      <c r="C95" s="1" t="s">
        <v>6</v>
      </c>
      <c r="D95" s="12">
        <f t="shared" si="24"/>
        <v>36000</v>
      </c>
      <c r="E95" s="21">
        <v>6000</v>
      </c>
      <c r="F95" s="21">
        <v>6000</v>
      </c>
      <c r="G95" s="21">
        <v>6000</v>
      </c>
      <c r="H95" s="21">
        <v>6000</v>
      </c>
      <c r="I95" s="21">
        <v>6000</v>
      </c>
      <c r="J95" s="21">
        <v>6000</v>
      </c>
    </row>
    <row r="96" spans="1:10" ht="63" customHeight="1" x14ac:dyDescent="0.25">
      <c r="A96" s="65" t="s">
        <v>19</v>
      </c>
      <c r="B96" s="3" t="s">
        <v>14</v>
      </c>
      <c r="C96" s="1" t="s">
        <v>6</v>
      </c>
      <c r="D96" s="12">
        <f t="shared" ref="D96:D103" si="33">SUM(E96:J96)</f>
        <v>644893767.18999994</v>
      </c>
      <c r="E96" s="21">
        <f>E97+E98+E99+E100</f>
        <v>134831689.49000001</v>
      </c>
      <c r="F96" s="21">
        <f>F97+F98+F99+F100</f>
        <v>105971077.68000001</v>
      </c>
      <c r="G96" s="21">
        <f t="shared" ref="G96:J96" si="34">G97+G98+G99+G100</f>
        <v>103832550.13</v>
      </c>
      <c r="H96" s="21">
        <f t="shared" si="34"/>
        <v>101952816.63</v>
      </c>
      <c r="I96" s="21">
        <f t="shared" si="34"/>
        <v>99152816.629999995</v>
      </c>
      <c r="J96" s="21">
        <f t="shared" si="34"/>
        <v>99152816.629999995</v>
      </c>
    </row>
    <row r="97" spans="1:10" ht="61.5" customHeight="1" x14ac:dyDescent="0.25">
      <c r="A97" s="65" t="s">
        <v>20</v>
      </c>
      <c r="B97" s="3" t="s">
        <v>14</v>
      </c>
      <c r="C97" s="1" t="s">
        <v>6</v>
      </c>
      <c r="D97" s="12">
        <f t="shared" si="33"/>
        <v>573960184.26000011</v>
      </c>
      <c r="E97" s="21">
        <v>84127595.180000007</v>
      </c>
      <c r="F97" s="21">
        <f>91484403.1+7727610.7+63921-21020-500000-826410+256000+3109489.9</f>
        <v>101293994.7</v>
      </c>
      <c r="G97" s="21">
        <v>99572673.719999999</v>
      </c>
      <c r="H97" s="21">
        <f>90631303.1+6247863.12+666700+625695+17079</f>
        <v>98188640.219999999</v>
      </c>
      <c r="I97" s="21">
        <f>90631303.1+3447863.12+666700+625695+17079</f>
        <v>95388640.219999999</v>
      </c>
      <c r="J97" s="21">
        <f>90631303.1+3447863.12+666700+625695+17079</f>
        <v>95388640.219999999</v>
      </c>
    </row>
    <row r="98" spans="1:10" ht="80.25" customHeight="1" x14ac:dyDescent="0.25">
      <c r="A98" s="65" t="s">
        <v>43</v>
      </c>
      <c r="B98" s="1" t="s">
        <v>8</v>
      </c>
      <c r="C98" s="1" t="s">
        <v>6</v>
      </c>
      <c r="D98" s="12">
        <f t="shared" si="33"/>
        <v>23093688.710000001</v>
      </c>
      <c r="E98" s="21">
        <v>3031329.09</v>
      </c>
      <c r="F98" s="21">
        <f>3231816.41+16000-264000-223278+856546+72404+80000-78193+70435.51+500000+382887.06</f>
        <v>4644617.9799999995</v>
      </c>
      <c r="G98" s="21">
        <v>4226210.41</v>
      </c>
      <c r="H98" s="21">
        <v>3730510.41</v>
      </c>
      <c r="I98" s="21">
        <v>3730510.41</v>
      </c>
      <c r="J98" s="21">
        <v>3730510.41</v>
      </c>
    </row>
    <row r="99" spans="1:10" ht="81.75" customHeight="1" x14ac:dyDescent="0.25">
      <c r="A99" s="66" t="s">
        <v>42</v>
      </c>
      <c r="B99" s="3" t="s">
        <v>84</v>
      </c>
      <c r="C99" s="1" t="s">
        <v>6</v>
      </c>
      <c r="D99" s="12">
        <f t="shared" si="33"/>
        <v>203256</v>
      </c>
      <c r="E99" s="21">
        <f>40097-3970</f>
        <v>36127</v>
      </c>
      <c r="F99" s="21">
        <f>40097-3970-3662</f>
        <v>32465</v>
      </c>
      <c r="G99" s="21">
        <v>33666</v>
      </c>
      <c r="H99" s="21">
        <v>33666</v>
      </c>
      <c r="I99" s="21">
        <v>33666</v>
      </c>
      <c r="J99" s="21">
        <v>33666</v>
      </c>
    </row>
    <row r="100" spans="1:10" ht="66.75" customHeight="1" x14ac:dyDescent="0.25">
      <c r="A100" s="66" t="s">
        <v>40</v>
      </c>
      <c r="B100" s="1" t="s">
        <v>41</v>
      </c>
      <c r="C100" s="1" t="s">
        <v>6</v>
      </c>
      <c r="D100" s="12">
        <f t="shared" si="33"/>
        <v>47636638.219999999</v>
      </c>
      <c r="E100" s="21">
        <v>47636638.219999999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</row>
    <row r="101" spans="1:10" ht="61.5" customHeight="1" x14ac:dyDescent="0.25">
      <c r="A101" s="65" t="s">
        <v>21</v>
      </c>
      <c r="B101" s="1" t="s">
        <v>14</v>
      </c>
      <c r="C101" s="1" t="s">
        <v>6</v>
      </c>
      <c r="D101" s="12">
        <f t="shared" si="33"/>
        <v>2693047.67</v>
      </c>
      <c r="E101" s="21">
        <f>1000000-750000</f>
        <v>250000</v>
      </c>
      <c r="F101" s="21">
        <f>1000000-750000+328247.67+64800</f>
        <v>643047.66999999993</v>
      </c>
      <c r="G101" s="21">
        <v>450000</v>
      </c>
      <c r="H101" s="21">
        <v>450000</v>
      </c>
      <c r="I101" s="21">
        <v>450000</v>
      </c>
      <c r="J101" s="21">
        <v>450000</v>
      </c>
    </row>
    <row r="102" spans="1:10" ht="79.5" customHeight="1" x14ac:dyDescent="0.25">
      <c r="A102" s="65" t="s">
        <v>22</v>
      </c>
      <c r="B102" s="1" t="s">
        <v>14</v>
      </c>
      <c r="C102" s="1" t="s">
        <v>6</v>
      </c>
      <c r="D102" s="12">
        <f t="shared" si="33"/>
        <v>841400</v>
      </c>
      <c r="E102" s="21">
        <v>41400</v>
      </c>
      <c r="F102" s="21">
        <f>200000-200000</f>
        <v>0</v>
      </c>
      <c r="G102" s="21">
        <v>200000</v>
      </c>
      <c r="H102" s="21">
        <v>200000</v>
      </c>
      <c r="I102" s="21">
        <v>200000</v>
      </c>
      <c r="J102" s="21">
        <v>200000</v>
      </c>
    </row>
    <row r="103" spans="1:10" ht="93.75" x14ac:dyDescent="0.25">
      <c r="A103" s="65" t="s">
        <v>53</v>
      </c>
      <c r="B103" s="1" t="s">
        <v>80</v>
      </c>
      <c r="C103" s="1" t="s">
        <v>6</v>
      </c>
      <c r="D103" s="12">
        <f t="shared" si="33"/>
        <v>2011136</v>
      </c>
      <c r="E103" s="21">
        <v>400000</v>
      </c>
      <c r="F103" s="21">
        <f>400000-388864</f>
        <v>11136</v>
      </c>
      <c r="G103" s="21">
        <v>400000</v>
      </c>
      <c r="H103" s="21">
        <v>400000</v>
      </c>
      <c r="I103" s="21">
        <v>400000</v>
      </c>
      <c r="J103" s="21">
        <v>400000</v>
      </c>
    </row>
    <row r="104" spans="1:10" ht="133.5" customHeight="1" x14ac:dyDescent="0.25">
      <c r="A104" s="65" t="s">
        <v>86</v>
      </c>
      <c r="B104" s="3" t="s">
        <v>84</v>
      </c>
      <c r="C104" s="1" t="s">
        <v>6</v>
      </c>
      <c r="D104" s="12">
        <f t="shared" ref="D104" si="35">SUM(E104:J104)</f>
        <v>1461178.17</v>
      </c>
      <c r="E104" s="21">
        <v>500000</v>
      </c>
      <c r="F104" s="21">
        <f>500000+500000-38821.83</f>
        <v>961178.17</v>
      </c>
      <c r="G104" s="21">
        <v>0</v>
      </c>
      <c r="H104" s="21">
        <v>0</v>
      </c>
      <c r="I104" s="21">
        <v>0</v>
      </c>
      <c r="J104" s="21">
        <v>0</v>
      </c>
    </row>
    <row r="105" spans="1:10" ht="88.5" customHeight="1" x14ac:dyDescent="0.25">
      <c r="A105" s="65" t="s">
        <v>120</v>
      </c>
      <c r="B105" s="3" t="s">
        <v>84</v>
      </c>
      <c r="C105" s="1" t="s">
        <v>6</v>
      </c>
      <c r="D105" s="12">
        <f t="shared" ref="D105" si="36">SUM(E105:J105)</f>
        <v>4000000</v>
      </c>
      <c r="E105" s="21">
        <v>0</v>
      </c>
      <c r="F105" s="21">
        <v>0</v>
      </c>
      <c r="G105" s="21">
        <v>1000000</v>
      </c>
      <c r="H105" s="21">
        <v>1000000</v>
      </c>
      <c r="I105" s="21">
        <v>1000000</v>
      </c>
      <c r="J105" s="21">
        <v>1000000</v>
      </c>
    </row>
    <row r="106" spans="1:10" ht="78" customHeight="1" x14ac:dyDescent="0.25">
      <c r="A106" s="67" t="s">
        <v>104</v>
      </c>
      <c r="B106" s="85" t="s">
        <v>102</v>
      </c>
      <c r="C106" s="82" t="s">
        <v>6</v>
      </c>
      <c r="D106" s="12">
        <f>SUM(E106:J106)</f>
        <v>73165449.219999999</v>
      </c>
      <c r="E106" s="51">
        <v>0</v>
      </c>
      <c r="F106" s="21">
        <f>14783926.1-257109.98+212100</f>
        <v>14738916.119999999</v>
      </c>
      <c r="G106" s="21">
        <v>14634937.119999999</v>
      </c>
      <c r="H106" s="21">
        <v>14597198.66</v>
      </c>
      <c r="I106" s="21">
        <v>14597198.66</v>
      </c>
      <c r="J106" s="21">
        <v>14597198.66</v>
      </c>
    </row>
    <row r="107" spans="1:10" ht="85.5" customHeight="1" x14ac:dyDescent="0.25">
      <c r="A107" s="65" t="s">
        <v>103</v>
      </c>
      <c r="B107" s="3" t="s">
        <v>41</v>
      </c>
      <c r="C107" s="1" t="s">
        <v>6</v>
      </c>
      <c r="D107" s="12">
        <f t="shared" ref="D107:D110" si="37">SUM(E107:J107)</f>
        <v>242730110.94</v>
      </c>
      <c r="E107" s="21">
        <v>0</v>
      </c>
      <c r="F107" s="21">
        <f>48986954.7+80850+4995-300000</f>
        <v>48772799.700000003</v>
      </c>
      <c r="G107" s="21">
        <v>50088504.840000004</v>
      </c>
      <c r="H107" s="21">
        <v>47956268.799999997</v>
      </c>
      <c r="I107" s="21">
        <v>47956268.799999997</v>
      </c>
      <c r="J107" s="21">
        <v>47956268.799999997</v>
      </c>
    </row>
    <row r="108" spans="1:10" ht="33" customHeight="1" x14ac:dyDescent="0.25">
      <c r="A108" s="89" t="s">
        <v>105</v>
      </c>
      <c r="B108" s="86" t="s">
        <v>14</v>
      </c>
      <c r="C108" s="1" t="s">
        <v>52</v>
      </c>
      <c r="D108" s="42">
        <f t="shared" si="37"/>
        <v>33000000</v>
      </c>
      <c r="E108" s="21">
        <f>E109+E110</f>
        <v>0</v>
      </c>
      <c r="F108" s="21">
        <f t="shared" ref="F108:J108" si="38">F109+F110</f>
        <v>0</v>
      </c>
      <c r="G108" s="21">
        <f t="shared" si="38"/>
        <v>0</v>
      </c>
      <c r="H108" s="21">
        <f t="shared" si="38"/>
        <v>11000000</v>
      </c>
      <c r="I108" s="21">
        <f t="shared" si="38"/>
        <v>11000000</v>
      </c>
      <c r="J108" s="21">
        <f t="shared" si="38"/>
        <v>11000000</v>
      </c>
    </row>
    <row r="109" spans="1:10" ht="43.5" customHeight="1" x14ac:dyDescent="0.25">
      <c r="A109" s="90"/>
      <c r="B109" s="87"/>
      <c r="C109" s="82" t="s">
        <v>6</v>
      </c>
      <c r="D109" s="12">
        <f t="shared" si="37"/>
        <v>3000000</v>
      </c>
      <c r="E109" s="21">
        <v>0</v>
      </c>
      <c r="F109" s="21">
        <v>0</v>
      </c>
      <c r="G109" s="21">
        <v>0</v>
      </c>
      <c r="H109" s="21">
        <v>1000000</v>
      </c>
      <c r="I109" s="21">
        <v>1000000</v>
      </c>
      <c r="J109" s="21">
        <v>1000000</v>
      </c>
    </row>
    <row r="110" spans="1:10" ht="43.5" customHeight="1" x14ac:dyDescent="0.25">
      <c r="A110" s="91"/>
      <c r="B110" s="88"/>
      <c r="C110" s="82" t="s">
        <v>87</v>
      </c>
      <c r="D110" s="12">
        <f t="shared" si="37"/>
        <v>30000000</v>
      </c>
      <c r="E110" s="21">
        <v>0</v>
      </c>
      <c r="F110" s="21">
        <v>0</v>
      </c>
      <c r="G110" s="21">
        <v>0</v>
      </c>
      <c r="H110" s="21">
        <v>10000000</v>
      </c>
      <c r="I110" s="21">
        <v>10000000</v>
      </c>
      <c r="J110" s="21">
        <v>10000000</v>
      </c>
    </row>
    <row r="111" spans="1:10" ht="79.5" customHeight="1" x14ac:dyDescent="0.25">
      <c r="A111" s="67" t="s">
        <v>112</v>
      </c>
      <c r="B111" s="82" t="s">
        <v>80</v>
      </c>
      <c r="C111" s="82" t="s">
        <v>6</v>
      </c>
      <c r="D111" s="42">
        <f>SUM(E111:J111)</f>
        <v>36000</v>
      </c>
      <c r="E111" s="51">
        <v>0</v>
      </c>
      <c r="F111" s="51">
        <v>36000</v>
      </c>
      <c r="G111" s="51">
        <v>0</v>
      </c>
      <c r="H111" s="51">
        <v>0</v>
      </c>
      <c r="I111" s="51">
        <v>0</v>
      </c>
      <c r="J111" s="51">
        <v>0</v>
      </c>
    </row>
    <row r="112" spans="1:10" ht="129" customHeight="1" x14ac:dyDescent="0.25">
      <c r="A112" s="65" t="s">
        <v>111</v>
      </c>
      <c r="B112" s="3" t="s">
        <v>84</v>
      </c>
      <c r="C112" s="1" t="s">
        <v>6</v>
      </c>
      <c r="D112" s="12">
        <f>SUM(E112:J112)</f>
        <v>2000000</v>
      </c>
      <c r="E112" s="51">
        <v>0</v>
      </c>
      <c r="F112" s="21">
        <v>2000000</v>
      </c>
      <c r="G112" s="21">
        <v>0</v>
      </c>
      <c r="H112" s="21">
        <v>0</v>
      </c>
      <c r="I112" s="21">
        <v>0</v>
      </c>
      <c r="J112" s="21">
        <v>0</v>
      </c>
    </row>
    <row r="113" spans="1:10" ht="60" customHeight="1" x14ac:dyDescent="0.25">
      <c r="A113" s="89" t="s">
        <v>114</v>
      </c>
      <c r="B113" s="86" t="s">
        <v>14</v>
      </c>
      <c r="C113" s="82" t="s">
        <v>52</v>
      </c>
      <c r="D113" s="42">
        <f t="shared" ref="D113:D115" si="39">SUM(E113:J113)</f>
        <v>7347391.6299999999</v>
      </c>
      <c r="E113" s="21">
        <f>E114+E115</f>
        <v>0</v>
      </c>
      <c r="F113" s="21">
        <f t="shared" ref="F113:J113" si="40">F114+F115</f>
        <v>7347391.6299999999</v>
      </c>
      <c r="G113" s="21">
        <f t="shared" si="40"/>
        <v>0</v>
      </c>
      <c r="H113" s="21">
        <f t="shared" si="40"/>
        <v>0</v>
      </c>
      <c r="I113" s="21">
        <f t="shared" si="40"/>
        <v>0</v>
      </c>
      <c r="J113" s="21">
        <f t="shared" si="40"/>
        <v>0</v>
      </c>
    </row>
    <row r="114" spans="1:10" ht="60" customHeight="1" x14ac:dyDescent="0.25">
      <c r="A114" s="90"/>
      <c r="B114" s="87"/>
      <c r="C114" s="82" t="s">
        <v>6</v>
      </c>
      <c r="D114" s="12">
        <f t="shared" si="39"/>
        <v>525362.32999999996</v>
      </c>
      <c r="E114" s="51">
        <v>0</v>
      </c>
      <c r="F114" s="21">
        <f>300000+225362.33</f>
        <v>525362.32999999996</v>
      </c>
      <c r="G114" s="21">
        <v>0</v>
      </c>
      <c r="H114" s="21">
        <v>0</v>
      </c>
      <c r="I114" s="21">
        <v>0</v>
      </c>
      <c r="J114" s="21">
        <v>0</v>
      </c>
    </row>
    <row r="115" spans="1:10" ht="60" customHeight="1" x14ac:dyDescent="0.25">
      <c r="A115" s="91"/>
      <c r="B115" s="88"/>
      <c r="C115" s="82" t="s">
        <v>87</v>
      </c>
      <c r="D115" s="12">
        <f t="shared" si="39"/>
        <v>6822029.2999999998</v>
      </c>
      <c r="E115" s="51">
        <v>0</v>
      </c>
      <c r="F115" s="21">
        <v>6822029.2999999998</v>
      </c>
      <c r="G115" s="21">
        <v>0</v>
      </c>
      <c r="H115" s="21">
        <v>0</v>
      </c>
      <c r="I115" s="21">
        <v>0</v>
      </c>
      <c r="J115" s="21">
        <v>0</v>
      </c>
    </row>
    <row r="116" spans="1:10" s="45" customFormat="1" ht="60.75" customHeight="1" x14ac:dyDescent="0.35">
      <c r="A116" s="104" t="s">
        <v>101</v>
      </c>
      <c r="B116" s="104"/>
      <c r="C116" s="104"/>
      <c r="D116" s="23"/>
      <c r="E116" s="23"/>
      <c r="F116" s="120"/>
      <c r="G116" s="120"/>
      <c r="H116" s="121" t="s">
        <v>89</v>
      </c>
      <c r="I116" s="121"/>
      <c r="J116" s="44"/>
    </row>
    <row r="117" spans="1:10" s="49" customFormat="1" ht="60.75" customHeight="1" x14ac:dyDescent="0.35">
      <c r="A117" s="46"/>
      <c r="B117" s="47"/>
      <c r="C117" s="48"/>
      <c r="D117" s="24"/>
      <c r="E117" s="24"/>
      <c r="F117" s="25"/>
      <c r="G117" s="25"/>
      <c r="H117" s="26"/>
      <c r="I117" s="26"/>
      <c r="J117" s="26"/>
    </row>
    <row r="118" spans="1:10" s="8" customFormat="1" ht="23.25" x14ac:dyDescent="0.35">
      <c r="A118" s="6" t="s">
        <v>39</v>
      </c>
      <c r="B118" s="6"/>
      <c r="C118" s="6"/>
      <c r="D118" s="7"/>
      <c r="E118" s="7"/>
      <c r="F118" s="7"/>
      <c r="G118" s="7"/>
      <c r="H118" s="27"/>
      <c r="I118" s="27"/>
      <c r="J118" s="27"/>
    </row>
    <row r="119" spans="1:10" x14ac:dyDescent="0.25">
      <c r="A119" s="5"/>
      <c r="B119" s="5"/>
      <c r="C119" s="5"/>
      <c r="D119" s="28"/>
      <c r="E119" s="28"/>
      <c r="F119" s="28"/>
      <c r="G119" s="28"/>
      <c r="H119" s="29"/>
      <c r="I119" s="29"/>
      <c r="J119" s="29"/>
    </row>
    <row r="120" spans="1:10" x14ac:dyDescent="0.25">
      <c r="A120" s="5"/>
      <c r="B120" s="5"/>
      <c r="C120" s="5"/>
      <c r="D120" s="28"/>
      <c r="E120" s="28"/>
      <c r="F120" s="28"/>
      <c r="G120" s="28"/>
    </row>
    <row r="121" spans="1:10" x14ac:dyDescent="0.25">
      <c r="A121" s="5"/>
      <c r="B121" s="5"/>
      <c r="C121" s="5"/>
      <c r="D121" s="28"/>
      <c r="E121" s="28"/>
      <c r="F121" s="28"/>
      <c r="G121" s="28"/>
    </row>
    <row r="122" spans="1:10" x14ac:dyDescent="0.25">
      <c r="A122" s="5"/>
      <c r="B122" s="5"/>
      <c r="C122" s="5"/>
      <c r="D122" s="28"/>
      <c r="E122" s="28"/>
      <c r="F122" s="28"/>
      <c r="G122" s="28"/>
    </row>
    <row r="123" spans="1:10" x14ac:dyDescent="0.25">
      <c r="A123" s="5"/>
      <c r="B123" s="5"/>
      <c r="C123" s="5"/>
      <c r="D123" s="28"/>
      <c r="E123" s="28"/>
      <c r="F123" s="28"/>
      <c r="G123" s="28"/>
    </row>
    <row r="124" spans="1:10" x14ac:dyDescent="0.25">
      <c r="A124" s="5"/>
      <c r="B124" s="5"/>
      <c r="C124" s="5"/>
      <c r="D124" s="28"/>
      <c r="E124" s="28"/>
      <c r="F124" s="28"/>
      <c r="G124" s="28"/>
    </row>
    <row r="125" spans="1:10" x14ac:dyDescent="0.25">
      <c r="A125" s="5"/>
      <c r="B125" s="5"/>
      <c r="C125" s="5"/>
      <c r="D125" s="28"/>
      <c r="E125" s="28"/>
      <c r="F125" s="28"/>
      <c r="G125" s="28"/>
    </row>
  </sheetData>
  <mergeCells count="37">
    <mergeCell ref="C15:C17"/>
    <mergeCell ref="A79:A82"/>
    <mergeCell ref="A83:A86"/>
    <mergeCell ref="I4:J4"/>
    <mergeCell ref="B47:B49"/>
    <mergeCell ref="A50:A52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3:J13"/>
    <mergeCell ref="I16:I17"/>
    <mergeCell ref="E16:E17"/>
    <mergeCell ref="A116:C116"/>
    <mergeCell ref="A87:A89"/>
    <mergeCell ref="A93:A95"/>
    <mergeCell ref="D15:D17"/>
    <mergeCell ref="E15:J15"/>
    <mergeCell ref="A47:A49"/>
    <mergeCell ref="A67:A69"/>
    <mergeCell ref="B67:B69"/>
    <mergeCell ref="A108:A110"/>
    <mergeCell ref="F116:G116"/>
    <mergeCell ref="H116:I116"/>
    <mergeCell ref="A90:A92"/>
    <mergeCell ref="B108:B110"/>
    <mergeCell ref="B113:B115"/>
    <mergeCell ref="A113:A115"/>
    <mergeCell ref="A56:A58"/>
    <mergeCell ref="B56:B58"/>
    <mergeCell ref="B15:B17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2" manualBreakCount="2">
    <brk id="35" max="10" man="1"/>
    <brk id="4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64</v>
      </c>
    </row>
    <row r="3" spans="1:8" ht="15.75" thickBot="1" x14ac:dyDescent="0.3"/>
    <row r="4" spans="1:8" ht="15.75" thickBot="1" x14ac:dyDescent="0.3">
      <c r="A4" s="72" t="s">
        <v>66</v>
      </c>
      <c r="B4" s="68" t="s">
        <v>51</v>
      </c>
      <c r="C4" s="69" t="s">
        <v>50</v>
      </c>
      <c r="D4" s="69" t="s">
        <v>55</v>
      </c>
      <c r="E4" s="69" t="s">
        <v>56</v>
      </c>
      <c r="F4" s="69" t="s">
        <v>57</v>
      </c>
      <c r="G4" s="70" t="s">
        <v>58</v>
      </c>
      <c r="H4" s="71" t="s">
        <v>65</v>
      </c>
    </row>
    <row r="5" spans="1:8" ht="75" x14ac:dyDescent="0.25">
      <c r="A5" s="73" t="s">
        <v>70</v>
      </c>
      <c r="B5" s="74">
        <v>28920640.079999998</v>
      </c>
      <c r="C5" s="74">
        <v>24489194.02</v>
      </c>
      <c r="D5" s="74">
        <v>21478170.32</v>
      </c>
      <c r="E5" s="74">
        <v>12347119.640000001</v>
      </c>
      <c r="F5" s="74">
        <v>13801116.550000001</v>
      </c>
      <c r="G5" s="74">
        <v>13801116.550000001</v>
      </c>
      <c r="H5" s="75">
        <f>SUM(B5:G5)</f>
        <v>114837357.15999998</v>
      </c>
    </row>
    <row r="6" spans="1:8" ht="45.75" thickBot="1" x14ac:dyDescent="0.3">
      <c r="A6" s="76" t="s">
        <v>71</v>
      </c>
      <c r="B6" s="77">
        <v>42172429.729999997</v>
      </c>
      <c r="C6" s="77">
        <v>39900559.609999999</v>
      </c>
      <c r="D6" s="77">
        <v>39309337.399999999</v>
      </c>
      <c r="E6" s="77">
        <v>39309337.399999999</v>
      </c>
      <c r="F6" s="77">
        <v>39309337.399999999</v>
      </c>
      <c r="G6" s="77">
        <v>39309337.399999999</v>
      </c>
      <c r="H6" s="78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2021-07-09T07:37:10Z</dcterms:modified>
</cp:coreProperties>
</file>