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програм)'!$A$1:$K$113</definedName>
  </definedNames>
  <calcPr calcId="152511"/>
</workbook>
</file>

<file path=xl/calcChain.xml><?xml version="1.0" encoding="utf-8"?>
<calcChain xmlns="http://schemas.openxmlformats.org/spreadsheetml/2006/main">
  <c r="D112" i="4" l="1"/>
  <c r="D111" i="4"/>
  <c r="J110" i="4"/>
  <c r="I110" i="4"/>
  <c r="H110" i="4"/>
  <c r="G110" i="4"/>
  <c r="F110" i="4"/>
  <c r="E110" i="4"/>
  <c r="D110" i="4" s="1"/>
  <c r="D109" i="4"/>
  <c r="D108" i="4"/>
  <c r="D107" i="4"/>
  <c r="D106" i="4"/>
  <c r="J105" i="4"/>
  <c r="I105" i="4"/>
  <c r="H105" i="4"/>
  <c r="G105" i="4"/>
  <c r="F105" i="4"/>
  <c r="E105" i="4"/>
  <c r="D105" i="4"/>
  <c r="F104" i="4"/>
  <c r="D104" i="4" s="1"/>
  <c r="F103" i="4"/>
  <c r="D103" i="4"/>
  <c r="F102" i="4"/>
  <c r="D102" i="4" s="1"/>
  <c r="D101" i="4"/>
  <c r="F100" i="4"/>
  <c r="D100" i="4" s="1"/>
  <c r="J99" i="4"/>
  <c r="I99" i="4"/>
  <c r="H99" i="4"/>
  <c r="G99" i="4"/>
  <c r="F99" i="4"/>
  <c r="E99" i="4"/>
  <c r="D99" i="4"/>
  <c r="D98" i="4"/>
  <c r="J97" i="4"/>
  <c r="I97" i="4"/>
  <c r="H97" i="4"/>
  <c r="H94" i="4" s="1"/>
  <c r="H65" i="4" s="1"/>
  <c r="G97" i="4"/>
  <c r="F97" i="4"/>
  <c r="E97" i="4"/>
  <c r="D97" i="4"/>
  <c r="J96" i="4"/>
  <c r="I96" i="4"/>
  <c r="H96" i="4"/>
  <c r="G96" i="4"/>
  <c r="F96" i="4"/>
  <c r="D96" i="4" s="1"/>
  <c r="F95" i="4"/>
  <c r="D95" i="4"/>
  <c r="J94" i="4"/>
  <c r="I94" i="4"/>
  <c r="G94" i="4"/>
  <c r="F94" i="4"/>
  <c r="E94" i="4"/>
  <c r="D93" i="4"/>
  <c r="D92" i="4"/>
  <c r="J91" i="4"/>
  <c r="I91" i="4"/>
  <c r="H91" i="4"/>
  <c r="G91" i="4"/>
  <c r="F91" i="4"/>
  <c r="E91" i="4"/>
  <c r="D91" i="4"/>
  <c r="D90" i="4"/>
  <c r="E89" i="4"/>
  <c r="D89" i="4"/>
  <c r="J88" i="4"/>
  <c r="I88" i="4"/>
  <c r="H88" i="4"/>
  <c r="G88" i="4"/>
  <c r="F88" i="4"/>
  <c r="E88" i="4"/>
  <c r="D88" i="4" s="1"/>
  <c r="D87" i="4"/>
  <c r="E86" i="4"/>
  <c r="D86" i="4" s="1"/>
  <c r="J85" i="4"/>
  <c r="I85" i="4"/>
  <c r="H85" i="4"/>
  <c r="G85" i="4"/>
  <c r="F85" i="4"/>
  <c r="D84" i="4"/>
  <c r="D83" i="4"/>
  <c r="J82" i="4"/>
  <c r="I82" i="4"/>
  <c r="I81" i="4" s="1"/>
  <c r="H82" i="4"/>
  <c r="G82" i="4"/>
  <c r="F82" i="4"/>
  <c r="E82" i="4"/>
  <c r="D82" i="4" s="1"/>
  <c r="J81" i="4"/>
  <c r="H81" i="4"/>
  <c r="G81" i="4"/>
  <c r="F81" i="4"/>
  <c r="J80" i="4"/>
  <c r="I80" i="4"/>
  <c r="H80" i="4"/>
  <c r="G80" i="4"/>
  <c r="G77" i="4" s="1"/>
  <c r="F80" i="4"/>
  <c r="D80" i="4" s="1"/>
  <c r="E80" i="4"/>
  <c r="J79" i="4"/>
  <c r="J77" i="4" s="1"/>
  <c r="I79" i="4"/>
  <c r="H79" i="4"/>
  <c r="G79" i="4"/>
  <c r="F79" i="4"/>
  <c r="F77" i="4" s="1"/>
  <c r="E79" i="4"/>
  <c r="D79" i="4" s="1"/>
  <c r="J78" i="4"/>
  <c r="I78" i="4"/>
  <c r="I77" i="4" s="1"/>
  <c r="H78" i="4"/>
  <c r="G78" i="4"/>
  <c r="F78" i="4"/>
  <c r="E78" i="4"/>
  <c r="D78" i="4" s="1"/>
  <c r="H77" i="4"/>
  <c r="H66" i="4" s="1"/>
  <c r="F76" i="4"/>
  <c r="D76" i="4" s="1"/>
  <c r="D75" i="4"/>
  <c r="D74" i="4"/>
  <c r="D73" i="4"/>
  <c r="D72" i="4"/>
  <c r="F71" i="4"/>
  <c r="D71" i="4"/>
  <c r="D70" i="4" s="1"/>
  <c r="J70" i="4"/>
  <c r="J65" i="4" s="1"/>
  <c r="I70" i="4"/>
  <c r="H70" i="4"/>
  <c r="G70" i="4"/>
  <c r="G65" i="4" s="1"/>
  <c r="F70" i="4"/>
  <c r="F65" i="4" s="1"/>
  <c r="E70" i="4"/>
  <c r="J67" i="4"/>
  <c r="J20" i="4" s="1"/>
  <c r="I67" i="4"/>
  <c r="H67" i="4"/>
  <c r="G67" i="4"/>
  <c r="F67" i="4"/>
  <c r="F20" i="4" s="1"/>
  <c r="E67" i="4"/>
  <c r="D67" i="4" s="1"/>
  <c r="D20" i="4" s="1"/>
  <c r="E64" i="4"/>
  <c r="D64" i="4" s="1"/>
  <c r="D63" i="4"/>
  <c r="E62" i="4"/>
  <c r="D62" i="4" s="1"/>
  <c r="F61" i="4"/>
  <c r="D61" i="4"/>
  <c r="J60" i="4"/>
  <c r="I60" i="4"/>
  <c r="H60" i="4"/>
  <c r="G60" i="4"/>
  <c r="F60" i="4"/>
  <c r="F59" i="4"/>
  <c r="D59" i="4"/>
  <c r="D58" i="4"/>
  <c r="E57" i="4"/>
  <c r="D57" i="4"/>
  <c r="E56" i="4"/>
  <c r="D56" i="4" s="1"/>
  <c r="J55" i="4"/>
  <c r="I55" i="4"/>
  <c r="H55" i="4"/>
  <c r="G55" i="4"/>
  <c r="F55" i="4"/>
  <c r="E54" i="4"/>
  <c r="D54" i="4" s="1"/>
  <c r="F53" i="4"/>
  <c r="E53" i="4"/>
  <c r="D53" i="4" s="1"/>
  <c r="D52" i="4"/>
  <c r="F51" i="4"/>
  <c r="D51" i="4"/>
  <c r="F50" i="4"/>
  <c r="E50" i="4"/>
  <c r="D50" i="4" s="1"/>
  <c r="J49" i="4"/>
  <c r="J47" i="4" s="1"/>
  <c r="J46" i="4" s="1"/>
  <c r="I49" i="4"/>
  <c r="I47" i="4" s="1"/>
  <c r="I46" i="4" s="1"/>
  <c r="H49" i="4"/>
  <c r="G49" i="4"/>
  <c r="F49" i="4"/>
  <c r="F47" i="4" s="1"/>
  <c r="F46" i="4" s="1"/>
  <c r="E49" i="4"/>
  <c r="D49" i="4" s="1"/>
  <c r="J48" i="4"/>
  <c r="I48" i="4"/>
  <c r="H48" i="4"/>
  <c r="G48" i="4"/>
  <c r="F48" i="4"/>
  <c r="E48" i="4"/>
  <c r="D48" i="4"/>
  <c r="H47" i="4"/>
  <c r="H46" i="4" s="1"/>
  <c r="G47" i="4"/>
  <c r="G46" i="4"/>
  <c r="E45" i="4"/>
  <c r="D45" i="4" s="1"/>
  <c r="F44" i="4"/>
  <c r="E44" i="4"/>
  <c r="D44" i="4"/>
  <c r="J43" i="4"/>
  <c r="I43" i="4"/>
  <c r="H43" i="4"/>
  <c r="G43" i="4"/>
  <c r="F43" i="4"/>
  <c r="D42" i="4"/>
  <c r="F41" i="4"/>
  <c r="D41" i="4" s="1"/>
  <c r="E40" i="4"/>
  <c r="D40" i="4"/>
  <c r="E39" i="4"/>
  <c r="D39" i="4" s="1"/>
  <c r="J35" i="4"/>
  <c r="I35" i="4"/>
  <c r="I30" i="4" s="1"/>
  <c r="I28" i="4" s="1"/>
  <c r="I27" i="4" s="1"/>
  <c r="H35" i="4"/>
  <c r="G35" i="4"/>
  <c r="F35" i="4"/>
  <c r="E35" i="4"/>
  <c r="D35" i="4" s="1"/>
  <c r="E34" i="4"/>
  <c r="D34" i="4"/>
  <c r="D33" i="4"/>
  <c r="D32" i="4"/>
  <c r="J31" i="4"/>
  <c r="I31" i="4"/>
  <c r="H31" i="4"/>
  <c r="H30" i="4" s="1"/>
  <c r="H28" i="4" s="1"/>
  <c r="G31" i="4"/>
  <c r="D31" i="4" s="1"/>
  <c r="F31" i="4"/>
  <c r="J30" i="4"/>
  <c r="J28" i="4" s="1"/>
  <c r="J27" i="4" s="1"/>
  <c r="F30" i="4"/>
  <c r="F28" i="4" s="1"/>
  <c r="F27" i="4" s="1"/>
  <c r="J29" i="4"/>
  <c r="I29" i="4"/>
  <c r="H29" i="4"/>
  <c r="G29" i="4"/>
  <c r="F29" i="4"/>
  <c r="E29" i="4"/>
  <c r="D29" i="4"/>
  <c r="J24" i="4"/>
  <c r="J21" i="4" s="1"/>
  <c r="I24" i="4"/>
  <c r="H24" i="4"/>
  <c r="G24" i="4"/>
  <c r="F24" i="4"/>
  <c r="E24" i="4"/>
  <c r="D24" i="4" s="1"/>
  <c r="D22" i="4"/>
  <c r="I21" i="4"/>
  <c r="H21" i="4"/>
  <c r="G21" i="4"/>
  <c r="F21" i="4"/>
  <c r="E21" i="4"/>
  <c r="I20" i="4"/>
  <c r="H20" i="4"/>
  <c r="G20" i="4"/>
  <c r="E20" i="4"/>
  <c r="D47" i="4" l="1"/>
  <c r="H19" i="4"/>
  <c r="H18" i="4" s="1"/>
  <c r="H27" i="4"/>
  <c r="I65" i="4"/>
  <c r="I66" i="4"/>
  <c r="I19" i="4" s="1"/>
  <c r="I18" i="4" s="1"/>
  <c r="D94" i="4"/>
  <c r="D21" i="4"/>
  <c r="G30" i="4"/>
  <c r="G28" i="4" s="1"/>
  <c r="E47" i="4"/>
  <c r="E46" i="4" s="1"/>
  <c r="D46" i="4" s="1"/>
  <c r="E55" i="4"/>
  <c r="D55" i="4" s="1"/>
  <c r="F66" i="4"/>
  <c r="F19" i="4" s="1"/>
  <c r="F18" i="4" s="1"/>
  <c r="J66" i="4"/>
  <c r="J19" i="4" s="1"/>
  <c r="J18" i="4" s="1"/>
  <c r="E77" i="4"/>
  <c r="E81" i="4"/>
  <c r="D81" i="4" s="1"/>
  <c r="E85" i="4"/>
  <c r="D85" i="4" s="1"/>
  <c r="E43" i="4"/>
  <c r="D43" i="4" s="1"/>
  <c r="G66" i="4"/>
  <c r="E30" i="4"/>
  <c r="E60" i="4"/>
  <c r="D60" i="4" s="1"/>
  <c r="H6" i="6"/>
  <c r="H5" i="6"/>
  <c r="D30" i="4" l="1"/>
  <c r="D28" i="4" s="1"/>
  <c r="D27" i="4" s="1"/>
  <c r="E28" i="4"/>
  <c r="G19" i="4"/>
  <c r="G18" i="4" s="1"/>
  <c r="G27" i="4"/>
  <c r="E66" i="4"/>
  <c r="D66" i="4" s="1"/>
  <c r="D77" i="4"/>
  <c r="E65" i="4"/>
  <c r="D65" i="4" s="1"/>
  <c r="C49" i="5"/>
  <c r="D49" i="5"/>
  <c r="D50" i="5" s="1"/>
  <c r="B49" i="5"/>
  <c r="C40" i="5"/>
  <c r="C44" i="5" s="1"/>
  <c r="D40" i="5"/>
  <c r="D44" i="5" s="1"/>
  <c r="B40" i="5"/>
  <c r="B44" i="5" s="1"/>
  <c r="B50" i="5" s="1"/>
  <c r="E27" i="4" l="1"/>
  <c r="E19" i="4"/>
  <c r="E18" i="4" s="1"/>
  <c r="D19" i="4"/>
  <c r="D18" i="4" s="1"/>
  <c r="C50" i="5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D7" i="5" l="1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<sst xmlns="http://schemas.openxmlformats.org/spreadsheetml/2006/main" count="401" uniqueCount="136">
  <si>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</si>
  <si>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</si>
  <si>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</si>
  <si>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</si>
  <si>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</si>
  <si>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</si>
  <si>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</si>
  <si>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</si>
  <si>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</si>
  <si>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</si>
  <si>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</si>
  <si>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</si>
  <si>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</si>
  <si>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</si>
  <si>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</si>
  <si>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</si>
  <si>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</si>
  <si>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</si>
  <si>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</si>
  <si>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</si>
  <si>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</si>
  <si>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</si>
  <si>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</si>
  <si>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</si>
  <si>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</si>
  <si>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</si>
  <si>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</si>
  <si>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</si>
  <si>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</si>
  <si>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</si>
  <si>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</si>
  <si>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</si>
  <si>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</si>
  <si>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</si>
  <si>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</si>
  <si>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</si>
  <si>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</si>
  <si>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</si>
  <si>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</si>
  <si>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</si>
  <si>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</si>
  <si>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</si>
  <si>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</si>
  <si>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</si>
  <si>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</si>
  <si>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</si>
  <si>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</si>
  <si>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</si>
  <si>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</si>
  <si>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</si>
  <si>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</si>
  <si>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</si>
  <si>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</si>
  <si>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</si>
  <si>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</si>
  <si>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</si>
  <si>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</si>
  <si>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</si>
  <si>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</si>
  <si>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</si>
  <si>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</si>
  <si>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</si>
  <si>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</si>
  <si>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</si>
  <si>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</si>
  <si>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</si>
  <si>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</si>
  <si>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</si>
  <si>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</si>
  <si>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</si>
  <si>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</si>
  <si>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</si>
  <si>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</si>
  <si>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</si>
  <si>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</si>
  <si>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</si>
  <si>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</si>
  <si>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</si>
  <si>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</si>
  <si>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</si>
  <si>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</si>
  <si>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</si>
  <si>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</si>
  <si>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</si>
  <si>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</si>
  <si>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</si>
  <si>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</si>
  <si>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</si>
  <si>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</si>
  <si>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</si>
  <si>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</si>
  <si>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</si>
  <si>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</si>
  <si>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</si>
  <si>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</si>
  <si>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</si>
  <si>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</si>
  <si>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</si>
  <si>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</si>
  <si>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</si>
  <si>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</si>
  <si>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</si>
  <si>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</si>
  <si>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</si>
  <si>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</si>
  <si>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</si>
  <si>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</si>
  <si>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</si>
  <si>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</si>
  <si>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</si>
  <si>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</si>
  <si>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</si>
  <si>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</si>
  <si>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</si>
  <si>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</si>
  <si>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</si>
  <si>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</si>
  <si>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</si>
  <si>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</si>
  <si>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</si>
  <si>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</si>
  <si>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</si>
  <si>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</si>
  <si>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</si>
  <si>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"город Усолье-Сибирское"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</si>
  <si>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"город Усолье-Сибирское"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</si>
  <si>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"город Усолье-Сибирское" на 2012-2025 гг. по состоянию на 2019-2020 гг.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</si>
  <si>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</si>
  <si>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</si>
  <si>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</si>
  <si>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</si>
  <si>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</si>
  <si>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</si>
  <si>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</si>
  <si>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</si>
  <si>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от 30.10.2020 №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</si>
</sst>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2" fillId="0" borderId="0" xfId="0" applyFont="1" applyFill="1"/>
    <xf numFmtId="0" fontId="6" fillId="0" borderId="17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3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0" xfId="0" applyFont="1" applyBorder="1"/>
    <xf numFmtId="0" fontId="15" fillId="0" borderId="29" xfId="0" applyFont="1" applyBorder="1"/>
    <xf numFmtId="0" fontId="16" fillId="0" borderId="31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0" fontId="16" fillId="0" borderId="35" xfId="0" applyFont="1" applyBorder="1"/>
    <xf numFmtId="4" fontId="16" fillId="0" borderId="36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0" fontId="18" fillId="2" borderId="32" xfId="0" applyFont="1" applyFill="1" applyBorder="1"/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4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4" fontId="18" fillId="2" borderId="3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9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164" fontId="32" fillId="0" borderId="3" xfId="0" applyNumberFormat="1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 wrapText="1"/>
    </xf>
    <xf numFmtId="164" fontId="32" fillId="0" borderId="8" xfId="0" applyNumberFormat="1" applyFont="1" applyBorder="1" applyAlignment="1">
      <alignment horizontal="center" vertical="center" wrapText="1"/>
    </xf>
    <xf numFmtId="164" fontId="32" fillId="0" borderId="40" xfId="0" applyNumberFormat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164" fontId="32" fillId="0" borderId="43" xfId="0" applyNumberFormat="1" applyFont="1" applyBorder="1" applyAlignment="1">
      <alignment horizontal="center" vertical="center" wrapText="1"/>
    </xf>
    <xf numFmtId="164" fontId="32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1" fillId="0" borderId="38" xfId="0" applyFont="1" applyBorder="1" applyAlignment="1">
      <alignment horizontal="center" wrapText="1"/>
    </xf>
    <xf numFmtId="164" fontId="31" fillId="0" borderId="12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0" fontId="3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45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0" fontId="6" fillId="0" borderId="19" xfId="0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" fontId="25" fillId="0" borderId="46" xfId="0" applyNumberFormat="1" applyFont="1" applyFill="1" applyBorder="1" applyAlignment="1">
      <alignment horizontal="right" vertical="center"/>
    </xf>
    <xf numFmtId="4" fontId="25" fillId="0" borderId="47" xfId="0" applyNumberFormat="1" applyFont="1" applyFill="1" applyBorder="1" applyAlignment="1">
      <alignment horizontal="right" vertical="center"/>
    </xf>
    <xf numFmtId="4" fontId="25" fillId="0" borderId="39" xfId="0" applyNumberFormat="1" applyFont="1" applyFill="1" applyBorder="1" applyAlignment="1">
      <alignment horizontal="right" vertical="center"/>
    </xf>
    <xf numFmtId="4" fontId="30" fillId="0" borderId="47" xfId="0" applyNumberFormat="1" applyFont="1" applyFill="1" applyBorder="1" applyAlignment="1">
      <alignment horizontal="right" vertical="center" wrapText="1"/>
    </xf>
    <xf numFmtId="4" fontId="30" fillId="0" borderId="47" xfId="0" applyNumberFormat="1" applyFont="1" applyFill="1" applyBorder="1" applyAlignment="1">
      <alignment horizontal="center" vertical="center" wrapText="1"/>
    </xf>
    <xf numFmtId="4" fontId="25" fillId="0" borderId="47" xfId="0" applyNumberFormat="1" applyFont="1" applyFill="1" applyBorder="1" applyAlignment="1">
      <alignment horizontal="right" vertical="center" wrapText="1"/>
    </xf>
    <xf numFmtId="4" fontId="20" fillId="0" borderId="47" xfId="0" applyNumberFormat="1" applyFont="1" applyFill="1" applyBorder="1" applyAlignment="1">
      <alignment vertical="center" wrapText="1"/>
    </xf>
    <xf numFmtId="4" fontId="30" fillId="0" borderId="47" xfId="0" applyNumberFormat="1" applyFont="1" applyFill="1" applyBorder="1" applyAlignment="1">
      <alignment horizontal="right" vertical="center"/>
    </xf>
    <xf numFmtId="4" fontId="30" fillId="0" borderId="39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2"/>
  <sheetViews>
    <sheetView tabSelected="1" view="pageBreakPreview" zoomScale="50" zoomScaleNormal="60" zoomScaleSheetLayoutView="5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H8" sqref="H8"/>
    </sheetView>
  </sheetViews>
  <sheetFormatPr defaultColWidth="9.109375" defaultRowHeight="14.4" outlineLevelRow="1" x14ac:dyDescent="0.3"/>
  <cols>
    <col min="1" max="1" width="52.6640625" style="6" customWidth="1"/>
    <col min="2" max="2" width="31" style="6" customWidth="1"/>
    <col min="3" max="3" width="26.109375" style="6" customWidth="1"/>
    <col min="4" max="4" width="25.44140625" style="86" customWidth="1"/>
    <col min="5" max="7" width="25.109375" style="86" customWidth="1"/>
    <col min="8" max="10" width="25.109375" style="6" customWidth="1"/>
    <col min="11" max="11" width="4.33203125" style="6" customWidth="1"/>
    <col min="12" max="16384" width="9.109375" style="6"/>
  </cols>
  <sheetData>
    <row r="1" spans="1:10" ht="18.75" customHeight="1" outlineLevel="1" x14ac:dyDescent="0.3">
      <c r="H1" s="86"/>
      <c r="I1" s="86"/>
      <c r="J1" s="87" t="s">
        <v>67</v>
      </c>
    </row>
    <row r="2" spans="1:10" ht="18.75" customHeight="1" outlineLevel="1" x14ac:dyDescent="0.3">
      <c r="H2" s="86"/>
      <c r="I2" s="86"/>
      <c r="J2" s="87" t="s">
        <v>62</v>
      </c>
    </row>
    <row r="3" spans="1:10" ht="18.75" customHeight="1" outlineLevel="1" x14ac:dyDescent="0.3">
      <c r="H3" s="86"/>
      <c r="I3" s="86"/>
      <c r="J3" s="87" t="s">
        <v>63</v>
      </c>
    </row>
    <row r="4" spans="1:10" ht="35.25" customHeight="1" outlineLevel="1" x14ac:dyDescent="0.35">
      <c r="H4" s="86"/>
      <c r="I4" s="159" t="s">
        <v>135</v>
      </c>
      <c r="J4" s="159"/>
    </row>
    <row r="5" spans="1:10" ht="18.75" customHeight="1" outlineLevel="1" x14ac:dyDescent="0.3">
      <c r="H5" s="86"/>
      <c r="I5" s="86"/>
      <c r="J5" s="87"/>
    </row>
    <row r="6" spans="1:10" ht="18" outlineLevel="1" x14ac:dyDescent="0.3">
      <c r="G6" s="87"/>
      <c r="H6" s="86"/>
      <c r="I6" s="87"/>
      <c r="J6" s="87" t="s">
        <v>110</v>
      </c>
    </row>
    <row r="7" spans="1:10" ht="18" outlineLevel="1" x14ac:dyDescent="0.3">
      <c r="G7" s="87"/>
      <c r="H7" s="86"/>
      <c r="I7" s="87"/>
      <c r="J7" s="87" t="s">
        <v>36</v>
      </c>
    </row>
    <row r="8" spans="1:10" ht="18" outlineLevel="1" x14ac:dyDescent="0.35">
      <c r="G8" s="88"/>
      <c r="H8" s="86"/>
      <c r="I8" s="88"/>
      <c r="J8" s="88" t="s">
        <v>37</v>
      </c>
    </row>
    <row r="9" spans="1:10" ht="18" outlineLevel="1" x14ac:dyDescent="0.3">
      <c r="G9" s="87"/>
      <c r="H9" s="86"/>
      <c r="I9" s="87"/>
      <c r="J9" s="87" t="s">
        <v>69</v>
      </c>
    </row>
    <row r="10" spans="1:10" ht="7.5" customHeight="1" outlineLevel="1" x14ac:dyDescent="0.3">
      <c r="G10" s="87"/>
    </row>
    <row r="11" spans="1:10" ht="18" outlineLevel="1" x14ac:dyDescent="0.3">
      <c r="G11" s="87"/>
    </row>
    <row r="12" spans="1:10" ht="30" customHeight="1" x14ac:dyDescent="0.3">
      <c r="A12" s="163" t="s">
        <v>113</v>
      </c>
      <c r="B12" s="163"/>
      <c r="C12" s="163"/>
      <c r="D12" s="163"/>
      <c r="E12" s="163"/>
      <c r="F12" s="163"/>
      <c r="G12" s="163"/>
      <c r="H12" s="163"/>
      <c r="I12" s="163"/>
      <c r="J12" s="163"/>
    </row>
    <row r="13" spans="1:10" ht="30" customHeight="1" x14ac:dyDescent="0.3">
      <c r="A13" s="163" t="s">
        <v>112</v>
      </c>
      <c r="B13" s="163"/>
      <c r="C13" s="163"/>
      <c r="D13" s="163"/>
      <c r="E13" s="163"/>
      <c r="F13" s="163"/>
      <c r="G13" s="163"/>
      <c r="H13" s="163"/>
      <c r="I13" s="163"/>
      <c r="J13" s="163"/>
    </row>
    <row r="14" spans="1:10" ht="18.600000000000001" thickBot="1" x14ac:dyDescent="0.35">
      <c r="G14" s="87"/>
    </row>
    <row r="15" spans="1:10" ht="48.75" customHeight="1" x14ac:dyDescent="0.3">
      <c r="A15" s="154" t="s">
        <v>115</v>
      </c>
      <c r="B15" s="154" t="s">
        <v>114</v>
      </c>
      <c r="C15" s="154" t="s">
        <v>0</v>
      </c>
      <c r="D15" s="179" t="s">
        <v>1</v>
      </c>
      <c r="E15" s="182" t="s">
        <v>103</v>
      </c>
      <c r="F15" s="182"/>
      <c r="G15" s="182"/>
      <c r="H15" s="182"/>
      <c r="I15" s="182"/>
      <c r="J15" s="183"/>
    </row>
    <row r="16" spans="1:10" ht="48.75" customHeight="1" x14ac:dyDescent="0.3">
      <c r="A16" s="155"/>
      <c r="B16" s="155"/>
      <c r="C16" s="155"/>
      <c r="D16" s="180"/>
      <c r="E16" s="171" t="s">
        <v>65</v>
      </c>
      <c r="F16" s="171" t="s">
        <v>64</v>
      </c>
      <c r="G16" s="171" t="s">
        <v>70</v>
      </c>
      <c r="H16" s="171" t="s">
        <v>71</v>
      </c>
      <c r="I16" s="171" t="s">
        <v>72</v>
      </c>
      <c r="J16" s="169" t="s">
        <v>73</v>
      </c>
    </row>
    <row r="17" spans="1:10" ht="48.75" customHeight="1" thickBot="1" x14ac:dyDescent="0.35">
      <c r="A17" s="155"/>
      <c r="B17" s="155"/>
      <c r="C17" s="155"/>
      <c r="D17" s="181"/>
      <c r="E17" s="172"/>
      <c r="F17" s="172"/>
      <c r="G17" s="172"/>
      <c r="H17" s="172"/>
      <c r="I17" s="172"/>
      <c r="J17" s="170"/>
    </row>
    <row r="18" spans="1:10" ht="44.25" customHeight="1" x14ac:dyDescent="0.3">
      <c r="A18" s="154" t="s">
        <v>74</v>
      </c>
      <c r="B18" s="165" t="s">
        <v>97</v>
      </c>
      <c r="C18" s="127" t="s">
        <v>66</v>
      </c>
      <c r="D18" s="128">
        <f>D19+D20</f>
        <v>1291522998.6299999</v>
      </c>
      <c r="E18" s="125">
        <f t="shared" ref="E18:J18" si="0">E19+E20</f>
        <v>179894561</v>
      </c>
      <c r="F18" s="125">
        <f t="shared" si="0"/>
        <v>230352548.67000002</v>
      </c>
      <c r="G18" s="125">
        <f t="shared" si="0"/>
        <v>220293997.23999995</v>
      </c>
      <c r="H18" s="125">
        <f t="shared" si="0"/>
        <v>220327297.23999995</v>
      </c>
      <c r="I18" s="125">
        <f t="shared" si="0"/>
        <v>220327297.23999995</v>
      </c>
      <c r="J18" s="145">
        <f t="shared" si="0"/>
        <v>220327297.23999995</v>
      </c>
    </row>
    <row r="19" spans="1:10" ht="56.25" customHeight="1" x14ac:dyDescent="0.3">
      <c r="A19" s="155"/>
      <c r="B19" s="166"/>
      <c r="C19" s="143" t="s">
        <v>7</v>
      </c>
      <c r="D19" s="129">
        <f>D21+D28+D66</f>
        <v>1221128863.4399998</v>
      </c>
      <c r="E19" s="89">
        <f t="shared" ref="E19:F19" si="1">E21+E28+E66</f>
        <v>176322455.11000001</v>
      </c>
      <c r="F19" s="89">
        <f t="shared" si="1"/>
        <v>223530519.37</v>
      </c>
      <c r="G19" s="89">
        <f>G21+G28+G66</f>
        <v>205293997.23999995</v>
      </c>
      <c r="H19" s="89">
        <f t="shared" ref="H19:J19" si="2">H21+H28+H66</f>
        <v>205327297.23999995</v>
      </c>
      <c r="I19" s="89">
        <f t="shared" si="2"/>
        <v>205327297.23999995</v>
      </c>
      <c r="J19" s="146">
        <f t="shared" si="2"/>
        <v>205327297.23999995</v>
      </c>
    </row>
    <row r="20" spans="1:10" ht="56.25" customHeight="1" x14ac:dyDescent="0.3">
      <c r="A20" s="164"/>
      <c r="B20" s="167"/>
      <c r="C20" s="143" t="s">
        <v>102</v>
      </c>
      <c r="D20" s="108">
        <f>D29+D67</f>
        <v>70394135.189999998</v>
      </c>
      <c r="E20" s="109">
        <f t="shared" ref="E20:J20" si="3">E29+E67</f>
        <v>3572105.89</v>
      </c>
      <c r="F20" s="109">
        <f t="shared" si="3"/>
        <v>6822029.2999999998</v>
      </c>
      <c r="G20" s="109">
        <f t="shared" si="3"/>
        <v>15000000</v>
      </c>
      <c r="H20" s="109">
        <f t="shared" si="3"/>
        <v>15000000</v>
      </c>
      <c r="I20" s="109">
        <f t="shared" si="3"/>
        <v>15000000</v>
      </c>
      <c r="J20" s="147">
        <f t="shared" si="3"/>
        <v>15000000</v>
      </c>
    </row>
    <row r="21" spans="1:10" s="115" customFormat="1" ht="81" customHeight="1" x14ac:dyDescent="0.3">
      <c r="A21" s="107" t="s">
        <v>75</v>
      </c>
      <c r="B21" s="117" t="s">
        <v>59</v>
      </c>
      <c r="C21" s="117" t="s">
        <v>7</v>
      </c>
      <c r="D21" s="66">
        <f>E21+F21+G21+H21+I21+J21</f>
        <v>71818452.620000005</v>
      </c>
      <c r="E21" s="89">
        <f t="shared" ref="E21:J21" si="4">E22+E24</f>
        <v>11125093.779999999</v>
      </c>
      <c r="F21" s="89">
        <f t="shared" si="4"/>
        <v>13067524.039999999</v>
      </c>
      <c r="G21" s="89">
        <f t="shared" si="4"/>
        <v>11906458.699999999</v>
      </c>
      <c r="H21" s="89">
        <f t="shared" si="4"/>
        <v>11906458.699999999</v>
      </c>
      <c r="I21" s="89">
        <f t="shared" si="4"/>
        <v>11906458.699999999</v>
      </c>
      <c r="J21" s="146">
        <f t="shared" si="4"/>
        <v>11906458.699999999</v>
      </c>
    </row>
    <row r="22" spans="1:10" ht="99" customHeight="1" x14ac:dyDescent="0.3">
      <c r="A22" s="1" t="s">
        <v>10</v>
      </c>
      <c r="B22" s="2" t="s">
        <v>59</v>
      </c>
      <c r="C22" s="2" t="s">
        <v>7</v>
      </c>
      <c r="D22" s="67">
        <f>E22+F22+G22+H22+I22+J22</f>
        <v>69375956.090000004</v>
      </c>
      <c r="E22" s="89">
        <v>11039960.58</v>
      </c>
      <c r="F22" s="90">
        <v>12734649.51</v>
      </c>
      <c r="G22" s="90">
        <v>11400336.5</v>
      </c>
      <c r="H22" s="90">
        <v>11400336.5</v>
      </c>
      <c r="I22" s="90">
        <v>11400336.5</v>
      </c>
      <c r="J22" s="148">
        <v>11400336.5</v>
      </c>
    </row>
    <row r="23" spans="1:10" ht="63.75" customHeight="1" x14ac:dyDescent="0.3">
      <c r="A23" s="1" t="s">
        <v>11</v>
      </c>
      <c r="B23" s="2" t="s">
        <v>59</v>
      </c>
      <c r="C23" s="2" t="s">
        <v>7</v>
      </c>
      <c r="D23" s="104" t="s">
        <v>8</v>
      </c>
      <c r="E23" s="91" t="s">
        <v>8</v>
      </c>
      <c r="F23" s="91" t="s">
        <v>8</v>
      </c>
      <c r="G23" s="91" t="s">
        <v>8</v>
      </c>
      <c r="H23" s="91" t="s">
        <v>8</v>
      </c>
      <c r="I23" s="91" t="s">
        <v>8</v>
      </c>
      <c r="J23" s="149" t="s">
        <v>8</v>
      </c>
    </row>
    <row r="24" spans="1:10" ht="78.75" customHeight="1" x14ac:dyDescent="0.3">
      <c r="A24" s="1" t="s">
        <v>122</v>
      </c>
      <c r="B24" s="2" t="s">
        <v>59</v>
      </c>
      <c r="C24" s="2" t="s">
        <v>7</v>
      </c>
      <c r="D24" s="67">
        <f>E24+F24+G24+H24+I24+J24</f>
        <v>2442496.5300000007</v>
      </c>
      <c r="E24" s="90">
        <f>376122.2-140000-150989</f>
        <v>85133.200000000012</v>
      </c>
      <c r="F24" s="90">
        <f>506122.2-45000-128247.67</f>
        <v>332874.53000000003</v>
      </c>
      <c r="G24" s="90">
        <f t="shared" ref="G24:J24" si="5">5316487.65-660365.45-4000000-150000</f>
        <v>506122.20000000019</v>
      </c>
      <c r="H24" s="90">
        <f t="shared" si="5"/>
        <v>506122.20000000019</v>
      </c>
      <c r="I24" s="90">
        <f t="shared" si="5"/>
        <v>506122.20000000019</v>
      </c>
      <c r="J24" s="148">
        <f t="shared" si="5"/>
        <v>506122.20000000019</v>
      </c>
    </row>
    <row r="25" spans="1:10" ht="236.25" customHeight="1" x14ac:dyDescent="0.3">
      <c r="A25" s="1" t="s">
        <v>38</v>
      </c>
      <c r="B25" s="2" t="s">
        <v>98</v>
      </c>
      <c r="C25" s="2" t="s">
        <v>7</v>
      </c>
      <c r="D25" s="104" t="s">
        <v>8</v>
      </c>
      <c r="E25" s="91" t="s">
        <v>8</v>
      </c>
      <c r="F25" s="91" t="s">
        <v>8</v>
      </c>
      <c r="G25" s="91" t="s">
        <v>8</v>
      </c>
      <c r="H25" s="91" t="s">
        <v>8</v>
      </c>
      <c r="I25" s="91" t="s">
        <v>8</v>
      </c>
      <c r="J25" s="149" t="s">
        <v>8</v>
      </c>
    </row>
    <row r="26" spans="1:10" ht="84" customHeight="1" x14ac:dyDescent="0.3">
      <c r="A26" s="107" t="s">
        <v>76</v>
      </c>
      <c r="B26" s="117" t="s">
        <v>59</v>
      </c>
      <c r="C26" s="117" t="s">
        <v>7</v>
      </c>
      <c r="D26" s="104" t="s">
        <v>8</v>
      </c>
      <c r="E26" s="91" t="s">
        <v>8</v>
      </c>
      <c r="F26" s="91" t="s">
        <v>8</v>
      </c>
      <c r="G26" s="91" t="s">
        <v>8</v>
      </c>
      <c r="H26" s="91" t="s">
        <v>8</v>
      </c>
      <c r="I26" s="91" t="s">
        <v>8</v>
      </c>
      <c r="J26" s="149" t="s">
        <v>8</v>
      </c>
    </row>
    <row r="27" spans="1:10" ht="84" customHeight="1" x14ac:dyDescent="0.3">
      <c r="A27" s="168" t="s">
        <v>77</v>
      </c>
      <c r="B27" s="168" t="s">
        <v>6</v>
      </c>
      <c r="C27" s="143" t="s">
        <v>66</v>
      </c>
      <c r="D27" s="110">
        <f>D28+D29</f>
        <v>167154492.84999996</v>
      </c>
      <c r="E27" s="111">
        <f t="shared" ref="E27:J27" si="6">E28+E29</f>
        <v>25356368.810000002</v>
      </c>
      <c r="F27" s="111">
        <f t="shared" si="6"/>
        <v>31412269.52</v>
      </c>
      <c r="G27" s="111">
        <f t="shared" si="6"/>
        <v>27596463.629999999</v>
      </c>
      <c r="H27" s="111">
        <f t="shared" si="6"/>
        <v>27596463.629999999</v>
      </c>
      <c r="I27" s="111">
        <f t="shared" si="6"/>
        <v>27596463.629999999</v>
      </c>
      <c r="J27" s="150">
        <f t="shared" si="6"/>
        <v>27596463.629999999</v>
      </c>
    </row>
    <row r="28" spans="1:10" s="115" customFormat="1" ht="47.25" customHeight="1" x14ac:dyDescent="0.3">
      <c r="A28" s="155"/>
      <c r="B28" s="155"/>
      <c r="C28" s="143" t="s">
        <v>7</v>
      </c>
      <c r="D28" s="110">
        <f>D30+D43+D47+D60</f>
        <v>163582386.95999998</v>
      </c>
      <c r="E28" s="111">
        <f>E30+E43+E47+E60</f>
        <v>21784262.920000002</v>
      </c>
      <c r="F28" s="111">
        <f t="shared" ref="F28:J28" si="7">F30+F43+F47+F60</f>
        <v>31412269.52</v>
      </c>
      <c r="G28" s="111">
        <f t="shared" si="7"/>
        <v>27596463.629999999</v>
      </c>
      <c r="H28" s="111">
        <f t="shared" si="7"/>
        <v>27596463.629999999</v>
      </c>
      <c r="I28" s="111">
        <f t="shared" si="7"/>
        <v>27596463.629999999</v>
      </c>
      <c r="J28" s="150">
        <f t="shared" si="7"/>
        <v>27596463.629999999</v>
      </c>
    </row>
    <row r="29" spans="1:10" s="115" customFormat="1" ht="47.25" customHeight="1" x14ac:dyDescent="0.3">
      <c r="A29" s="164"/>
      <c r="B29" s="164"/>
      <c r="C29" s="143" t="s">
        <v>102</v>
      </c>
      <c r="D29" s="110">
        <f>D48</f>
        <v>3572105.89</v>
      </c>
      <c r="E29" s="111">
        <f t="shared" ref="E29:J29" si="8">E48</f>
        <v>3572105.89</v>
      </c>
      <c r="F29" s="111">
        <f t="shared" si="8"/>
        <v>0</v>
      </c>
      <c r="G29" s="111">
        <f t="shared" si="8"/>
        <v>0</v>
      </c>
      <c r="H29" s="111">
        <f t="shared" si="8"/>
        <v>0</v>
      </c>
      <c r="I29" s="111">
        <f t="shared" si="8"/>
        <v>0</v>
      </c>
      <c r="J29" s="150">
        <f t="shared" si="8"/>
        <v>0</v>
      </c>
    </row>
    <row r="30" spans="1:10" ht="99.75" customHeight="1" x14ac:dyDescent="0.3">
      <c r="A30" s="141" t="s">
        <v>12</v>
      </c>
      <c r="B30" s="139" t="s">
        <v>6</v>
      </c>
      <c r="C30" s="2" t="s">
        <v>7</v>
      </c>
      <c r="D30" s="67">
        <f>SUM(E30:J30)</f>
        <v>8162785.3299999982</v>
      </c>
      <c r="E30" s="90">
        <f>SUM(E31:E41)</f>
        <v>702424.43</v>
      </c>
      <c r="F30" s="90">
        <f>SUM(F31:F42)</f>
        <v>4469352.18</v>
      </c>
      <c r="G30" s="90">
        <f t="shared" ref="G30:J30" si="9">SUM(G31:G42)</f>
        <v>747752.17999999993</v>
      </c>
      <c r="H30" s="90">
        <f t="shared" si="9"/>
        <v>747752.17999999993</v>
      </c>
      <c r="I30" s="90">
        <f t="shared" si="9"/>
        <v>747752.17999999993</v>
      </c>
      <c r="J30" s="90">
        <f t="shared" si="9"/>
        <v>747752.17999999993</v>
      </c>
    </row>
    <row r="31" spans="1:10" ht="148.5" customHeight="1" x14ac:dyDescent="0.3">
      <c r="A31" s="1" t="s">
        <v>25</v>
      </c>
      <c r="B31" s="2" t="s">
        <v>6</v>
      </c>
      <c r="C31" s="2" t="s">
        <v>7</v>
      </c>
      <c r="D31" s="67">
        <f t="shared" ref="D31:D35" si="10">SUM(E31:J31)</f>
        <v>1459348.98</v>
      </c>
      <c r="E31" s="105">
        <v>324848.98</v>
      </c>
      <c r="F31" s="105">
        <f>214900+60000</f>
        <v>274900</v>
      </c>
      <c r="G31" s="105">
        <f t="shared" ref="G31:J31" si="11">214900</f>
        <v>214900</v>
      </c>
      <c r="H31" s="105">
        <f t="shared" si="11"/>
        <v>214900</v>
      </c>
      <c r="I31" s="105">
        <f t="shared" si="11"/>
        <v>214900</v>
      </c>
      <c r="J31" s="132">
        <f t="shared" si="11"/>
        <v>214900</v>
      </c>
    </row>
    <row r="32" spans="1:10" ht="100.5" customHeight="1" x14ac:dyDescent="0.3">
      <c r="A32" s="1" t="s">
        <v>87</v>
      </c>
      <c r="B32" s="2" t="s">
        <v>6</v>
      </c>
      <c r="C32" s="2" t="s">
        <v>7</v>
      </c>
      <c r="D32" s="67">
        <f t="shared" si="10"/>
        <v>1290721.8500000001</v>
      </c>
      <c r="E32" s="105">
        <v>254321.85</v>
      </c>
      <c r="F32" s="105">
        <v>207280</v>
      </c>
      <c r="G32" s="105">
        <v>207280</v>
      </c>
      <c r="H32" s="105">
        <v>207280</v>
      </c>
      <c r="I32" s="105">
        <v>207280</v>
      </c>
      <c r="J32" s="132">
        <v>207280</v>
      </c>
    </row>
    <row r="33" spans="1:10" ht="130.5" customHeight="1" x14ac:dyDescent="0.3">
      <c r="A33" s="1" t="s">
        <v>88</v>
      </c>
      <c r="B33" s="2" t="s">
        <v>6</v>
      </c>
      <c r="C33" s="2" t="s">
        <v>7</v>
      </c>
      <c r="D33" s="67">
        <f t="shared" si="10"/>
        <v>100000</v>
      </c>
      <c r="E33" s="105">
        <v>0</v>
      </c>
      <c r="F33" s="105">
        <v>20000</v>
      </c>
      <c r="G33" s="105">
        <v>20000</v>
      </c>
      <c r="H33" s="105">
        <v>20000</v>
      </c>
      <c r="I33" s="105">
        <v>20000</v>
      </c>
      <c r="J33" s="132">
        <v>20000</v>
      </c>
    </row>
    <row r="34" spans="1:10" ht="81" customHeight="1" x14ac:dyDescent="0.3">
      <c r="A34" s="1" t="s">
        <v>107</v>
      </c>
      <c r="B34" s="2" t="s">
        <v>6</v>
      </c>
      <c r="C34" s="2" t="s">
        <v>7</v>
      </c>
      <c r="D34" s="67">
        <f t="shared" si="10"/>
        <v>849430.8</v>
      </c>
      <c r="E34" s="105">
        <f>4000*26-28440-6129.2</f>
        <v>69430.8</v>
      </c>
      <c r="F34" s="105">
        <v>156000</v>
      </c>
      <c r="G34" s="105">
        <v>156000</v>
      </c>
      <c r="H34" s="105">
        <v>156000</v>
      </c>
      <c r="I34" s="105">
        <v>156000</v>
      </c>
      <c r="J34" s="132">
        <v>156000</v>
      </c>
    </row>
    <row r="35" spans="1:10" ht="79.5" customHeight="1" x14ac:dyDescent="0.3">
      <c r="A35" s="1" t="s">
        <v>26</v>
      </c>
      <c r="B35" s="2" t="s">
        <v>6</v>
      </c>
      <c r="C35" s="2" t="s">
        <v>7</v>
      </c>
      <c r="D35" s="67">
        <f t="shared" si="10"/>
        <v>0</v>
      </c>
      <c r="E35" s="90">
        <f>380462-380462</f>
        <v>0</v>
      </c>
      <c r="F35" s="90">
        <f>380462-380462</f>
        <v>0</v>
      </c>
      <c r="G35" s="90">
        <f t="shared" ref="G35:J35" si="12">380462-380462</f>
        <v>0</v>
      </c>
      <c r="H35" s="90">
        <f t="shared" si="12"/>
        <v>0</v>
      </c>
      <c r="I35" s="90">
        <f t="shared" si="12"/>
        <v>0</v>
      </c>
      <c r="J35" s="130">
        <f t="shared" si="12"/>
        <v>0</v>
      </c>
    </row>
    <row r="36" spans="1:10" ht="126.75" customHeight="1" x14ac:dyDescent="0.3">
      <c r="A36" s="1" t="s">
        <v>27</v>
      </c>
      <c r="B36" s="2" t="s">
        <v>6</v>
      </c>
      <c r="C36" s="2" t="s">
        <v>7</v>
      </c>
      <c r="D36" s="104" t="s">
        <v>8</v>
      </c>
      <c r="E36" s="91" t="s">
        <v>8</v>
      </c>
      <c r="F36" s="91" t="s">
        <v>8</v>
      </c>
      <c r="G36" s="91" t="s">
        <v>8</v>
      </c>
      <c r="H36" s="91" t="s">
        <v>8</v>
      </c>
      <c r="I36" s="91" t="s">
        <v>8</v>
      </c>
      <c r="J36" s="131" t="s">
        <v>8</v>
      </c>
    </row>
    <row r="37" spans="1:10" ht="158.25" customHeight="1" x14ac:dyDescent="0.3">
      <c r="A37" s="101" t="s">
        <v>34</v>
      </c>
      <c r="B37" s="102" t="s">
        <v>6</v>
      </c>
      <c r="C37" s="2" t="s">
        <v>7</v>
      </c>
      <c r="D37" s="104" t="s">
        <v>8</v>
      </c>
      <c r="E37" s="91" t="s">
        <v>8</v>
      </c>
      <c r="F37" s="91" t="s">
        <v>8</v>
      </c>
      <c r="G37" s="91" t="s">
        <v>8</v>
      </c>
      <c r="H37" s="91" t="s">
        <v>8</v>
      </c>
      <c r="I37" s="91" t="s">
        <v>8</v>
      </c>
      <c r="J37" s="131" t="s">
        <v>8</v>
      </c>
    </row>
    <row r="38" spans="1:10" ht="114" customHeight="1" x14ac:dyDescent="0.3">
      <c r="A38" s="101" t="s">
        <v>33</v>
      </c>
      <c r="B38" s="102" t="s">
        <v>6</v>
      </c>
      <c r="C38" s="2" t="s">
        <v>7</v>
      </c>
      <c r="D38" s="104" t="s">
        <v>8</v>
      </c>
      <c r="E38" s="91" t="s">
        <v>8</v>
      </c>
      <c r="F38" s="91" t="s">
        <v>8</v>
      </c>
      <c r="G38" s="91" t="s">
        <v>8</v>
      </c>
      <c r="H38" s="91" t="s">
        <v>8</v>
      </c>
      <c r="I38" s="91" t="s">
        <v>8</v>
      </c>
      <c r="J38" s="131" t="s">
        <v>8</v>
      </c>
    </row>
    <row r="39" spans="1:10" ht="114" customHeight="1" x14ac:dyDescent="0.3">
      <c r="A39" s="101" t="s">
        <v>89</v>
      </c>
      <c r="B39" s="102" t="s">
        <v>6</v>
      </c>
      <c r="C39" s="2" t="s">
        <v>7</v>
      </c>
      <c r="D39" s="67">
        <f t="shared" ref="D39:D45" si="13">SUM(E39:J39)</f>
        <v>250000</v>
      </c>
      <c r="E39" s="113">
        <f>2000*2-4000</f>
        <v>0</v>
      </c>
      <c r="F39" s="113">
        <v>50000</v>
      </c>
      <c r="G39" s="113">
        <v>50000</v>
      </c>
      <c r="H39" s="113">
        <v>50000</v>
      </c>
      <c r="I39" s="113">
        <v>50000</v>
      </c>
      <c r="J39" s="133">
        <v>50000</v>
      </c>
    </row>
    <row r="40" spans="1:10" ht="114" customHeight="1" x14ac:dyDescent="0.3">
      <c r="A40" s="101" t="s">
        <v>90</v>
      </c>
      <c r="B40" s="102" t="s">
        <v>6</v>
      </c>
      <c r="C40" s="2" t="s">
        <v>7</v>
      </c>
      <c r="D40" s="67">
        <f t="shared" si="13"/>
        <v>551683.69999999995</v>
      </c>
      <c r="E40" s="113">
        <f>10*5382.28</f>
        <v>53822.799999999996</v>
      </c>
      <c r="F40" s="113">
        <v>99572.18</v>
      </c>
      <c r="G40" s="113">
        <v>99572.18</v>
      </c>
      <c r="H40" s="113">
        <v>99572.18</v>
      </c>
      <c r="I40" s="113">
        <v>99572.18</v>
      </c>
      <c r="J40" s="133">
        <v>99572.18</v>
      </c>
    </row>
    <row r="41" spans="1:10" ht="114" customHeight="1" x14ac:dyDescent="0.3">
      <c r="A41" s="101" t="s">
        <v>128</v>
      </c>
      <c r="B41" s="102" t="s">
        <v>6</v>
      </c>
      <c r="C41" s="2" t="s">
        <v>7</v>
      </c>
      <c r="D41" s="67">
        <f t="shared" si="13"/>
        <v>2861600</v>
      </c>
      <c r="E41" s="113">
        <v>0</v>
      </c>
      <c r="F41" s="113">
        <f>6823340-2823340-1138400</f>
        <v>2861600</v>
      </c>
      <c r="G41" s="113">
        <v>0</v>
      </c>
      <c r="H41" s="113">
        <v>0</v>
      </c>
      <c r="I41" s="113">
        <v>0</v>
      </c>
      <c r="J41" s="133">
        <v>0</v>
      </c>
    </row>
    <row r="42" spans="1:10" ht="114" customHeight="1" x14ac:dyDescent="0.3">
      <c r="A42" s="101" t="s">
        <v>134</v>
      </c>
      <c r="B42" s="102" t="s">
        <v>6</v>
      </c>
      <c r="C42" s="2" t="s">
        <v>7</v>
      </c>
      <c r="D42" s="67">
        <f t="shared" ref="D42" si="14">SUM(E42:J42)</f>
        <v>800000</v>
      </c>
      <c r="E42" s="113">
        <v>0</v>
      </c>
      <c r="F42" s="113">
        <v>800000</v>
      </c>
      <c r="G42" s="113">
        <v>0</v>
      </c>
      <c r="H42" s="113">
        <v>0</v>
      </c>
      <c r="I42" s="113">
        <v>0</v>
      </c>
      <c r="J42" s="133">
        <v>0</v>
      </c>
    </row>
    <row r="43" spans="1:10" ht="84" customHeight="1" x14ac:dyDescent="0.3">
      <c r="A43" s="1" t="s">
        <v>28</v>
      </c>
      <c r="B43" s="2" t="s">
        <v>6</v>
      </c>
      <c r="C43" s="2" t="s">
        <v>7</v>
      </c>
      <c r="D43" s="67">
        <f t="shared" si="13"/>
        <v>29163589.140000001</v>
      </c>
      <c r="E43" s="90">
        <f t="shared" ref="E43:J43" si="15">SUM(E44:E45)</f>
        <v>1059883.27</v>
      </c>
      <c r="F43" s="90">
        <f t="shared" si="15"/>
        <v>1506545.8700000003</v>
      </c>
      <c r="G43" s="90">
        <f t="shared" si="15"/>
        <v>6649290</v>
      </c>
      <c r="H43" s="90">
        <f t="shared" si="15"/>
        <v>6649290</v>
      </c>
      <c r="I43" s="90">
        <f t="shared" si="15"/>
        <v>6649290</v>
      </c>
      <c r="J43" s="130">
        <f t="shared" si="15"/>
        <v>6649290</v>
      </c>
    </row>
    <row r="44" spans="1:10" ht="225.75" customHeight="1" x14ac:dyDescent="0.3">
      <c r="A44" s="124" t="s">
        <v>123</v>
      </c>
      <c r="B44" s="2" t="s">
        <v>6</v>
      </c>
      <c r="C44" s="2" t="s">
        <v>7</v>
      </c>
      <c r="D44" s="67">
        <f t="shared" si="13"/>
        <v>28378737.98</v>
      </c>
      <c r="E44" s="105">
        <f>996262.92+1269.19</f>
        <v>997532.11</v>
      </c>
      <c r="F44" s="105">
        <f>6504790-662550-442954.88-2794017-326435.51-916786.74</f>
        <v>1362045.8700000003</v>
      </c>
      <c r="G44" s="105">
        <v>6504790</v>
      </c>
      <c r="H44" s="105">
        <v>6504790</v>
      </c>
      <c r="I44" s="105">
        <v>6504790</v>
      </c>
      <c r="J44" s="132">
        <v>6504790</v>
      </c>
    </row>
    <row r="45" spans="1:10" ht="93.75" customHeight="1" x14ac:dyDescent="0.3">
      <c r="A45" s="1" t="s">
        <v>91</v>
      </c>
      <c r="B45" s="2" t="s">
        <v>6</v>
      </c>
      <c r="C45" s="2" t="s">
        <v>7</v>
      </c>
      <c r="D45" s="67">
        <f t="shared" si="13"/>
        <v>784851.16</v>
      </c>
      <c r="E45" s="90">
        <f>144500+8696.63-92528.6+1683.13</f>
        <v>62351.159999999996</v>
      </c>
      <c r="F45" s="90">
        <v>144500</v>
      </c>
      <c r="G45" s="90">
        <v>144500</v>
      </c>
      <c r="H45" s="90">
        <v>144500</v>
      </c>
      <c r="I45" s="90">
        <v>144500</v>
      </c>
      <c r="J45" s="130">
        <v>144500</v>
      </c>
    </row>
    <row r="46" spans="1:10" ht="48.75" customHeight="1" x14ac:dyDescent="0.3">
      <c r="A46" s="156" t="s">
        <v>13</v>
      </c>
      <c r="B46" s="160" t="s">
        <v>6</v>
      </c>
      <c r="C46" s="143" t="s">
        <v>66</v>
      </c>
      <c r="D46" s="67">
        <f>SUM(E46:J46)</f>
        <v>30956234.16</v>
      </c>
      <c r="E46" s="90">
        <f>E47+E48</f>
        <v>8929994.9000000004</v>
      </c>
      <c r="F46" s="90">
        <f>F47+F48</f>
        <v>6207000.1799999997</v>
      </c>
      <c r="G46" s="90">
        <f t="shared" ref="G46:J46" si="16">G47+G48</f>
        <v>3954809.77</v>
      </c>
      <c r="H46" s="90">
        <f t="shared" si="16"/>
        <v>3954809.77</v>
      </c>
      <c r="I46" s="90">
        <f t="shared" si="16"/>
        <v>3954809.77</v>
      </c>
      <c r="J46" s="130">
        <f t="shared" si="16"/>
        <v>3954809.77</v>
      </c>
    </row>
    <row r="47" spans="1:10" ht="48.75" customHeight="1" x14ac:dyDescent="0.3">
      <c r="A47" s="157"/>
      <c r="B47" s="161"/>
      <c r="C47" s="143" t="s">
        <v>7</v>
      </c>
      <c r="D47" s="67">
        <f>D49+D52+D53+D54+D56+D58+D59</f>
        <v>27384128.27</v>
      </c>
      <c r="E47" s="90">
        <f>E49+E52+E53+E54+E56+E58+E59</f>
        <v>5357889.01</v>
      </c>
      <c r="F47" s="90">
        <f t="shared" ref="F47:J47" si="17">F49+F52+F53+F54+F56+F58+F59</f>
        <v>6207000.1799999997</v>
      </c>
      <c r="G47" s="90">
        <f t="shared" si="17"/>
        <v>3954809.77</v>
      </c>
      <c r="H47" s="90">
        <f t="shared" si="17"/>
        <v>3954809.77</v>
      </c>
      <c r="I47" s="90">
        <f t="shared" si="17"/>
        <v>3954809.77</v>
      </c>
      <c r="J47" s="90">
        <f t="shared" si="17"/>
        <v>3954809.77</v>
      </c>
    </row>
    <row r="48" spans="1:10" ht="48.75" customHeight="1" x14ac:dyDescent="0.3">
      <c r="A48" s="158"/>
      <c r="B48" s="162"/>
      <c r="C48" s="143" t="s">
        <v>102</v>
      </c>
      <c r="D48" s="67">
        <f>D57</f>
        <v>3572105.89</v>
      </c>
      <c r="E48" s="90">
        <f t="shared" ref="E48:J48" si="18">E57</f>
        <v>3572105.89</v>
      </c>
      <c r="F48" s="90">
        <f t="shared" si="18"/>
        <v>0</v>
      </c>
      <c r="G48" s="90">
        <f t="shared" si="18"/>
        <v>0</v>
      </c>
      <c r="H48" s="90">
        <f t="shared" si="18"/>
        <v>0</v>
      </c>
      <c r="I48" s="90">
        <f t="shared" si="18"/>
        <v>0</v>
      </c>
      <c r="J48" s="130">
        <f t="shared" si="18"/>
        <v>0</v>
      </c>
    </row>
    <row r="49" spans="1:10" ht="42.75" customHeight="1" x14ac:dyDescent="0.3">
      <c r="A49" s="156" t="s">
        <v>29</v>
      </c>
      <c r="B49" s="114"/>
      <c r="C49" s="2" t="s">
        <v>66</v>
      </c>
      <c r="D49" s="67">
        <f t="shared" ref="D49:D51" si="19">SUM(E49:J49)</f>
        <v>10286843.989999998</v>
      </c>
      <c r="E49" s="90">
        <f>E50+E51</f>
        <v>2063208.5899999999</v>
      </c>
      <c r="F49" s="90">
        <f>F50+F51</f>
        <v>3636956.32</v>
      </c>
      <c r="G49" s="90">
        <f t="shared" ref="G49:J49" si="20">G50+G51</f>
        <v>1146669.77</v>
      </c>
      <c r="H49" s="90">
        <f t="shared" si="20"/>
        <v>1146669.77</v>
      </c>
      <c r="I49" s="90">
        <f t="shared" si="20"/>
        <v>1146669.77</v>
      </c>
      <c r="J49" s="130">
        <f t="shared" si="20"/>
        <v>1146669.77</v>
      </c>
    </row>
    <row r="50" spans="1:10" ht="84.75" customHeight="1" x14ac:dyDescent="0.3">
      <c r="A50" s="157"/>
      <c r="B50" s="139" t="s">
        <v>6</v>
      </c>
      <c r="C50" s="140" t="s">
        <v>7</v>
      </c>
      <c r="D50" s="67">
        <f t="shared" si="19"/>
        <v>8243405.7699999977</v>
      </c>
      <c r="E50" s="90">
        <f>1407602.69+36457.68</f>
        <v>1444060.3699999999</v>
      </c>
      <c r="F50" s="90">
        <f>1189294.77+654400+610600-241628.45</f>
        <v>2212666.3199999998</v>
      </c>
      <c r="G50" s="90">
        <v>1146669.77</v>
      </c>
      <c r="H50" s="90">
        <v>1146669.77</v>
      </c>
      <c r="I50" s="90">
        <v>1146669.77</v>
      </c>
      <c r="J50" s="130">
        <v>1146669.77</v>
      </c>
    </row>
    <row r="51" spans="1:10" ht="57.75" customHeight="1" x14ac:dyDescent="0.3">
      <c r="A51" s="158"/>
      <c r="B51" s="2" t="s">
        <v>105</v>
      </c>
      <c r="C51" s="140" t="s">
        <v>7</v>
      </c>
      <c r="D51" s="67">
        <f t="shared" si="19"/>
        <v>2043438.22</v>
      </c>
      <c r="E51" s="90">
        <v>619148.22</v>
      </c>
      <c r="F51" s="90">
        <f>1636390-212100</f>
        <v>1424290</v>
      </c>
      <c r="G51" s="90">
        <v>0</v>
      </c>
      <c r="H51" s="90">
        <v>0</v>
      </c>
      <c r="I51" s="90">
        <v>0</v>
      </c>
      <c r="J51" s="130">
        <v>0</v>
      </c>
    </row>
    <row r="52" spans="1:10" ht="109.5" customHeight="1" x14ac:dyDescent="0.3">
      <c r="A52" s="1" t="s">
        <v>92</v>
      </c>
      <c r="B52" s="2" t="s">
        <v>6</v>
      </c>
      <c r="C52" s="2" t="s">
        <v>7</v>
      </c>
      <c r="D52" s="67">
        <f t="shared" ref="D52:D58" si="21">SUM(E52:J52)</f>
        <v>1858017.76</v>
      </c>
      <c r="E52" s="105">
        <v>662817.76</v>
      </c>
      <c r="F52" s="105">
        <v>239040</v>
      </c>
      <c r="G52" s="105">
        <v>239040</v>
      </c>
      <c r="H52" s="105">
        <v>239040</v>
      </c>
      <c r="I52" s="105">
        <v>239040</v>
      </c>
      <c r="J52" s="132">
        <v>239040</v>
      </c>
    </row>
    <row r="53" spans="1:10" ht="84" customHeight="1" x14ac:dyDescent="0.3">
      <c r="A53" s="1" t="s">
        <v>93</v>
      </c>
      <c r="B53" s="2" t="s">
        <v>6</v>
      </c>
      <c r="C53" s="103" t="s">
        <v>7</v>
      </c>
      <c r="D53" s="67">
        <f t="shared" si="21"/>
        <v>14368662.43</v>
      </c>
      <c r="E53" s="105">
        <f>2091009.55-114910</f>
        <v>1976099.55</v>
      </c>
      <c r="F53" s="105">
        <f>2569100+8150-167645.12+233980-527422</f>
        <v>2116162.88</v>
      </c>
      <c r="G53" s="105">
        <v>2569100</v>
      </c>
      <c r="H53" s="105">
        <v>2569100</v>
      </c>
      <c r="I53" s="105">
        <v>2569100</v>
      </c>
      <c r="J53" s="132">
        <v>2569100</v>
      </c>
    </row>
    <row r="54" spans="1:10" ht="72" customHeight="1" x14ac:dyDescent="0.3">
      <c r="A54" s="1" t="s">
        <v>106</v>
      </c>
      <c r="B54" s="2" t="s">
        <v>105</v>
      </c>
      <c r="C54" s="103" t="s">
        <v>7</v>
      </c>
      <c r="D54" s="67">
        <f t="shared" si="21"/>
        <v>122000</v>
      </c>
      <c r="E54" s="105">
        <f>120000+2000</f>
        <v>122000</v>
      </c>
      <c r="F54" s="105">
        <v>0</v>
      </c>
      <c r="G54" s="105">
        <v>0</v>
      </c>
      <c r="H54" s="105">
        <v>0</v>
      </c>
      <c r="I54" s="105">
        <v>0</v>
      </c>
      <c r="J54" s="132">
        <v>0</v>
      </c>
    </row>
    <row r="55" spans="1:10" ht="42" customHeight="1" x14ac:dyDescent="0.3">
      <c r="A55" s="192" t="s">
        <v>109</v>
      </c>
      <c r="B55" s="160" t="s">
        <v>105</v>
      </c>
      <c r="C55" s="140" t="s">
        <v>66</v>
      </c>
      <c r="D55" s="67">
        <f t="shared" si="21"/>
        <v>4105869</v>
      </c>
      <c r="E55" s="105">
        <f>E56+E57</f>
        <v>4105869</v>
      </c>
      <c r="F55" s="105">
        <f>F56+F57</f>
        <v>0</v>
      </c>
      <c r="G55" s="105">
        <f t="shared" ref="G55:J55" si="22">G56+G57</f>
        <v>0</v>
      </c>
      <c r="H55" s="105">
        <f t="shared" si="22"/>
        <v>0</v>
      </c>
      <c r="I55" s="105">
        <f t="shared" si="22"/>
        <v>0</v>
      </c>
      <c r="J55" s="132">
        <f t="shared" si="22"/>
        <v>0</v>
      </c>
    </row>
    <row r="56" spans="1:10" ht="42" customHeight="1" x14ac:dyDescent="0.3">
      <c r="A56" s="193"/>
      <c r="B56" s="161"/>
      <c r="C56" s="140" t="s">
        <v>7</v>
      </c>
      <c r="D56" s="67">
        <f t="shared" si="21"/>
        <v>533763.1100000001</v>
      </c>
      <c r="E56" s="105">
        <f>643500.17-109737.06</f>
        <v>533763.1100000001</v>
      </c>
      <c r="F56" s="105">
        <v>0</v>
      </c>
      <c r="G56" s="105">
        <v>0</v>
      </c>
      <c r="H56" s="105">
        <v>0</v>
      </c>
      <c r="I56" s="105">
        <v>0</v>
      </c>
      <c r="J56" s="132">
        <v>0</v>
      </c>
    </row>
    <row r="57" spans="1:10" ht="42" customHeight="1" x14ac:dyDescent="0.3">
      <c r="A57" s="194"/>
      <c r="B57" s="162"/>
      <c r="C57" s="140" t="s">
        <v>102</v>
      </c>
      <c r="D57" s="67">
        <f t="shared" si="21"/>
        <v>3572105.89</v>
      </c>
      <c r="E57" s="105">
        <f>4306499.83-734393.94</f>
        <v>3572105.89</v>
      </c>
      <c r="F57" s="105">
        <v>0</v>
      </c>
      <c r="G57" s="105">
        <v>0</v>
      </c>
      <c r="H57" s="105">
        <v>0</v>
      </c>
      <c r="I57" s="105">
        <v>0</v>
      </c>
      <c r="J57" s="132">
        <v>0</v>
      </c>
    </row>
    <row r="58" spans="1:10" ht="78" customHeight="1" x14ac:dyDescent="0.3">
      <c r="A58" s="112" t="s">
        <v>108</v>
      </c>
      <c r="B58" s="2" t="s">
        <v>6</v>
      </c>
      <c r="C58" s="103" t="s">
        <v>7</v>
      </c>
      <c r="D58" s="67">
        <f t="shared" si="21"/>
        <v>0</v>
      </c>
      <c r="E58" s="105">
        <v>0</v>
      </c>
      <c r="F58" s="105">
        <v>0</v>
      </c>
      <c r="G58" s="105">
        <v>0</v>
      </c>
      <c r="H58" s="105">
        <v>0</v>
      </c>
      <c r="I58" s="105">
        <v>0</v>
      </c>
      <c r="J58" s="132">
        <v>0</v>
      </c>
    </row>
    <row r="59" spans="1:10" ht="112.5" customHeight="1" x14ac:dyDescent="0.3">
      <c r="A59" s="137" t="s">
        <v>129</v>
      </c>
      <c r="B59" s="138" t="s">
        <v>6</v>
      </c>
      <c r="C59" s="103" t="s">
        <v>7</v>
      </c>
      <c r="D59" s="67">
        <f t="shared" ref="D59:D64" si="23">SUM(E59:J59)</f>
        <v>214840.98</v>
      </c>
      <c r="E59" s="105">
        <v>0</v>
      </c>
      <c r="F59" s="105">
        <f>255403.79-40562.81</f>
        <v>214840.98</v>
      </c>
      <c r="G59" s="105">
        <v>0</v>
      </c>
      <c r="H59" s="105">
        <v>0</v>
      </c>
      <c r="I59" s="105">
        <v>0</v>
      </c>
      <c r="J59" s="132">
        <v>0</v>
      </c>
    </row>
    <row r="60" spans="1:10" ht="84" customHeight="1" x14ac:dyDescent="0.3">
      <c r="A60" s="1" t="s">
        <v>14</v>
      </c>
      <c r="B60" s="2" t="s">
        <v>6</v>
      </c>
      <c r="C60" s="2" t="s">
        <v>7</v>
      </c>
      <c r="D60" s="67">
        <f t="shared" si="23"/>
        <v>98871884.219999999</v>
      </c>
      <c r="E60" s="90">
        <f>SUM(E61:E64)</f>
        <v>14664066.210000001</v>
      </c>
      <c r="F60" s="90">
        <f>SUM(F61:F64)</f>
        <v>19229371.289999999</v>
      </c>
      <c r="G60" s="90">
        <f t="shared" ref="G60:J60" si="24">SUM(G61:G64)</f>
        <v>16244611.68</v>
      </c>
      <c r="H60" s="90">
        <f t="shared" si="24"/>
        <v>16244611.68</v>
      </c>
      <c r="I60" s="90">
        <f t="shared" si="24"/>
        <v>16244611.68</v>
      </c>
      <c r="J60" s="130">
        <f t="shared" si="24"/>
        <v>16244611.68</v>
      </c>
    </row>
    <row r="61" spans="1:10" ht="85.5" customHeight="1" x14ac:dyDescent="0.3">
      <c r="A61" s="1" t="s">
        <v>30</v>
      </c>
      <c r="B61" s="2" t="s">
        <v>6</v>
      </c>
      <c r="C61" s="2" t="s">
        <v>7</v>
      </c>
      <c r="D61" s="67">
        <f t="shared" si="23"/>
        <v>96089317.650000006</v>
      </c>
      <c r="E61" s="106">
        <v>13961599.640000001</v>
      </c>
      <c r="F61" s="106">
        <f>15858711.68+2834159.61</f>
        <v>18692871.289999999</v>
      </c>
      <c r="G61" s="106">
        <v>15858711.68</v>
      </c>
      <c r="H61" s="106">
        <v>15858711.68</v>
      </c>
      <c r="I61" s="106">
        <v>15858711.68</v>
      </c>
      <c r="J61" s="134">
        <v>15858711.68</v>
      </c>
    </row>
    <row r="62" spans="1:10" ht="81.75" customHeight="1" x14ac:dyDescent="0.3">
      <c r="A62" s="1" t="s">
        <v>94</v>
      </c>
      <c r="B62" s="2" t="s">
        <v>6</v>
      </c>
      <c r="C62" s="2" t="s">
        <v>7</v>
      </c>
      <c r="D62" s="67">
        <f t="shared" si="23"/>
        <v>2103986</v>
      </c>
      <c r="E62" s="106">
        <f>174486</f>
        <v>174486</v>
      </c>
      <c r="F62" s="106">
        <v>385900</v>
      </c>
      <c r="G62" s="106">
        <v>385900</v>
      </c>
      <c r="H62" s="106">
        <v>385900</v>
      </c>
      <c r="I62" s="106">
        <v>385900</v>
      </c>
      <c r="J62" s="134">
        <v>385900</v>
      </c>
    </row>
    <row r="63" spans="1:10" ht="102" customHeight="1" x14ac:dyDescent="0.3">
      <c r="A63" s="1" t="s">
        <v>132</v>
      </c>
      <c r="B63" s="2" t="s">
        <v>6</v>
      </c>
      <c r="C63" s="2" t="s">
        <v>7</v>
      </c>
      <c r="D63" s="69">
        <f t="shared" si="23"/>
        <v>5600</v>
      </c>
      <c r="E63" s="92">
        <v>0</v>
      </c>
      <c r="F63" s="92">
        <v>5600</v>
      </c>
      <c r="G63" s="92">
        <v>0</v>
      </c>
      <c r="H63" s="92">
        <v>0</v>
      </c>
      <c r="I63" s="92">
        <v>0</v>
      </c>
      <c r="J63" s="135">
        <v>0</v>
      </c>
    </row>
    <row r="64" spans="1:10" ht="111.75" customHeight="1" x14ac:dyDescent="0.3">
      <c r="A64" s="1" t="s">
        <v>40</v>
      </c>
      <c r="B64" s="2" t="s">
        <v>6</v>
      </c>
      <c r="C64" s="2" t="s">
        <v>7</v>
      </c>
      <c r="D64" s="69">
        <f t="shared" si="23"/>
        <v>672980.57000000007</v>
      </c>
      <c r="E64" s="92">
        <f>452480.57+75500</f>
        <v>527980.57000000007</v>
      </c>
      <c r="F64" s="92">
        <v>145000</v>
      </c>
      <c r="G64" s="92">
        <v>0</v>
      </c>
      <c r="H64" s="92">
        <v>0</v>
      </c>
      <c r="I64" s="92">
        <v>0</v>
      </c>
      <c r="J64" s="135">
        <v>0</v>
      </c>
    </row>
    <row r="65" spans="1:10" ht="38.25" customHeight="1" x14ac:dyDescent="0.3">
      <c r="A65" s="184" t="s">
        <v>78</v>
      </c>
      <c r="B65" s="184" t="s">
        <v>99</v>
      </c>
      <c r="C65" s="117" t="s">
        <v>66</v>
      </c>
      <c r="D65" s="69">
        <f t="shared" ref="D65:D67" si="25">SUM(E65:J65)</f>
        <v>1052550053.1599998</v>
      </c>
      <c r="E65" s="92">
        <f>E70+E77+E94+E99+E100+E101+E102+E103+E104+E105</f>
        <v>143413098.41</v>
      </c>
      <c r="F65" s="92">
        <f>F70+F77+F94+F99+F100+F101+F102+F103+F104+F105+F108+F109+F110</f>
        <v>185872755.11000001</v>
      </c>
      <c r="G65" s="92">
        <f t="shared" ref="G65:J65" si="26">G70+G77+G94+G99+G100+G101+G102+G103+G104+G105+G108+G109+G110</f>
        <v>180791074.90999997</v>
      </c>
      <c r="H65" s="92">
        <f t="shared" si="26"/>
        <v>180824374.90999997</v>
      </c>
      <c r="I65" s="92">
        <f t="shared" si="26"/>
        <v>180824374.90999997</v>
      </c>
      <c r="J65" s="92">
        <f t="shared" si="26"/>
        <v>180824374.90999997</v>
      </c>
    </row>
    <row r="66" spans="1:10" ht="38.25" customHeight="1" x14ac:dyDescent="0.3">
      <c r="A66" s="166"/>
      <c r="B66" s="166"/>
      <c r="C66" s="140" t="s">
        <v>7</v>
      </c>
      <c r="D66" s="69">
        <f t="shared" si="25"/>
        <v>985728023.8599999</v>
      </c>
      <c r="E66" s="92">
        <f>E70+E77+E94+E99+E100+E101+E102+E103+E104+E106+E108+E109+E111</f>
        <v>143413098.41</v>
      </c>
      <c r="F66" s="92">
        <f t="shared" ref="F66:J66" si="27">F70+F77+F94+F99+F100+F101+F102+F103+F104+F106+F108+F109+F111</f>
        <v>179050725.81</v>
      </c>
      <c r="G66" s="92">
        <f t="shared" si="27"/>
        <v>165791074.90999997</v>
      </c>
      <c r="H66" s="92">
        <f t="shared" si="27"/>
        <v>165824374.90999997</v>
      </c>
      <c r="I66" s="92">
        <f t="shared" si="27"/>
        <v>165824374.90999997</v>
      </c>
      <c r="J66" s="92">
        <f t="shared" si="27"/>
        <v>165824374.90999997</v>
      </c>
    </row>
    <row r="67" spans="1:10" ht="38.25" customHeight="1" x14ac:dyDescent="0.3">
      <c r="A67" s="167"/>
      <c r="B67" s="167"/>
      <c r="C67" s="140" t="s">
        <v>102</v>
      </c>
      <c r="D67" s="69">
        <f t="shared" si="25"/>
        <v>66822029.299999997</v>
      </c>
      <c r="E67" s="92">
        <f>E107+E112</f>
        <v>0</v>
      </c>
      <c r="F67" s="92">
        <f t="shared" ref="F67:J67" si="28">F107+F112</f>
        <v>6822029.2999999998</v>
      </c>
      <c r="G67" s="92">
        <f t="shared" si="28"/>
        <v>15000000</v>
      </c>
      <c r="H67" s="92">
        <f t="shared" si="28"/>
        <v>15000000</v>
      </c>
      <c r="I67" s="92">
        <f t="shared" si="28"/>
        <v>15000000</v>
      </c>
      <c r="J67" s="92">
        <f t="shared" si="28"/>
        <v>15000000</v>
      </c>
    </row>
    <row r="68" spans="1:10" ht="87.75" customHeight="1" x14ac:dyDescent="0.3">
      <c r="A68" s="7" t="s">
        <v>31</v>
      </c>
      <c r="B68" s="5" t="s">
        <v>84</v>
      </c>
      <c r="C68" s="2" t="s">
        <v>7</v>
      </c>
      <c r="D68" s="104" t="s">
        <v>8</v>
      </c>
      <c r="E68" s="91" t="s">
        <v>8</v>
      </c>
      <c r="F68" s="91" t="s">
        <v>8</v>
      </c>
      <c r="G68" s="91" t="s">
        <v>8</v>
      </c>
      <c r="H68" s="91" t="s">
        <v>8</v>
      </c>
      <c r="I68" s="91" t="s">
        <v>8</v>
      </c>
      <c r="J68" s="149" t="s">
        <v>8</v>
      </c>
    </row>
    <row r="69" spans="1:10" ht="104.25" customHeight="1" x14ac:dyDescent="0.3">
      <c r="A69" s="8" t="s">
        <v>58</v>
      </c>
      <c r="B69" s="5" t="s">
        <v>60</v>
      </c>
      <c r="C69" s="2" t="s">
        <v>7</v>
      </c>
      <c r="D69" s="104" t="s">
        <v>8</v>
      </c>
      <c r="E69" s="91" t="s">
        <v>8</v>
      </c>
      <c r="F69" s="91" t="s">
        <v>8</v>
      </c>
      <c r="G69" s="91" t="s">
        <v>8</v>
      </c>
      <c r="H69" s="91" t="s">
        <v>8</v>
      </c>
      <c r="I69" s="91" t="s">
        <v>8</v>
      </c>
      <c r="J69" s="149" t="s">
        <v>8</v>
      </c>
    </row>
    <row r="70" spans="1:10" ht="162" customHeight="1" x14ac:dyDescent="0.3">
      <c r="A70" s="10" t="s">
        <v>32</v>
      </c>
      <c r="B70" s="5" t="s">
        <v>61</v>
      </c>
      <c r="C70" s="2" t="s">
        <v>66</v>
      </c>
      <c r="D70" s="70">
        <f>SUM(D71:D76)</f>
        <v>23405820</v>
      </c>
      <c r="E70" s="93">
        <f>SUM(E71:E76)</f>
        <v>5475970</v>
      </c>
      <c r="F70" s="93">
        <f>SUM(F71:F76)</f>
        <v>7825970</v>
      </c>
      <c r="G70" s="93">
        <f t="shared" ref="G70:J70" si="29">SUM(G71:G76)</f>
        <v>2525970</v>
      </c>
      <c r="H70" s="93">
        <f t="shared" si="29"/>
        <v>2525970</v>
      </c>
      <c r="I70" s="93">
        <f t="shared" si="29"/>
        <v>2525970</v>
      </c>
      <c r="J70" s="151">
        <f t="shared" si="29"/>
        <v>2525970</v>
      </c>
    </row>
    <row r="71" spans="1:10" ht="99" customHeight="1" x14ac:dyDescent="0.3">
      <c r="A71" s="8" t="s">
        <v>82</v>
      </c>
      <c r="B71" s="5" t="s">
        <v>61</v>
      </c>
      <c r="C71" s="2" t="s">
        <v>7</v>
      </c>
      <c r="D71" s="68">
        <f>SUM(E71:J71)</f>
        <v>21060820</v>
      </c>
      <c r="E71" s="93">
        <v>3130970</v>
      </c>
      <c r="F71" s="93">
        <f>2525970-299000+3300000+2299000</f>
        <v>7825970</v>
      </c>
      <c r="G71" s="93">
        <v>2525970</v>
      </c>
      <c r="H71" s="93">
        <v>2525970</v>
      </c>
      <c r="I71" s="93">
        <v>2525970</v>
      </c>
      <c r="J71" s="151">
        <v>2525970</v>
      </c>
    </row>
    <row r="72" spans="1:10" ht="114" customHeight="1" x14ac:dyDescent="0.3">
      <c r="A72" s="10" t="s">
        <v>124</v>
      </c>
      <c r="B72" s="5" t="s">
        <v>83</v>
      </c>
      <c r="C72" s="2" t="s">
        <v>7</v>
      </c>
      <c r="D72" s="70">
        <f t="shared" ref="D72:D93" si="30">SUM(E72:J72)</f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151">
        <v>0</v>
      </c>
    </row>
    <row r="73" spans="1:10" ht="123.75" customHeight="1" x14ac:dyDescent="0.3">
      <c r="A73" s="10" t="s">
        <v>125</v>
      </c>
      <c r="B73" s="5" t="s">
        <v>83</v>
      </c>
      <c r="C73" s="2" t="s">
        <v>7</v>
      </c>
      <c r="D73" s="70">
        <f t="shared" si="30"/>
        <v>0</v>
      </c>
      <c r="E73" s="93">
        <v>0</v>
      </c>
      <c r="F73" s="93">
        <v>0</v>
      </c>
      <c r="G73" s="93">
        <v>0</v>
      </c>
      <c r="H73" s="93">
        <v>0</v>
      </c>
      <c r="I73" s="93">
        <v>0</v>
      </c>
      <c r="J73" s="151">
        <v>0</v>
      </c>
    </row>
    <row r="74" spans="1:10" ht="119.25" customHeight="1" x14ac:dyDescent="0.3">
      <c r="A74" s="10" t="s">
        <v>126</v>
      </c>
      <c r="B74" s="5" t="s">
        <v>61</v>
      </c>
      <c r="C74" s="2" t="s">
        <v>7</v>
      </c>
      <c r="D74" s="70">
        <f t="shared" si="30"/>
        <v>0</v>
      </c>
      <c r="E74" s="93">
        <v>0</v>
      </c>
      <c r="F74" s="93">
        <v>0</v>
      </c>
      <c r="G74" s="93">
        <v>0</v>
      </c>
      <c r="H74" s="93">
        <v>0</v>
      </c>
      <c r="I74" s="93">
        <v>0</v>
      </c>
      <c r="J74" s="151">
        <v>0</v>
      </c>
    </row>
    <row r="75" spans="1:10" ht="126.75" customHeight="1" x14ac:dyDescent="0.3">
      <c r="A75" s="10" t="s">
        <v>127</v>
      </c>
      <c r="B75" s="5" t="s">
        <v>61</v>
      </c>
      <c r="C75" s="2" t="s">
        <v>7</v>
      </c>
      <c r="D75" s="70">
        <f t="shared" si="30"/>
        <v>95000</v>
      </c>
      <c r="E75" s="93">
        <v>95000</v>
      </c>
      <c r="F75" s="93">
        <v>0</v>
      </c>
      <c r="G75" s="93">
        <v>0</v>
      </c>
      <c r="H75" s="93">
        <v>0</v>
      </c>
      <c r="I75" s="93">
        <v>0</v>
      </c>
      <c r="J75" s="151">
        <v>0</v>
      </c>
    </row>
    <row r="76" spans="1:10" ht="126.75" customHeight="1" x14ac:dyDescent="0.3">
      <c r="A76" s="8" t="s">
        <v>116</v>
      </c>
      <c r="B76" s="5" t="s">
        <v>61</v>
      </c>
      <c r="C76" s="2" t="s">
        <v>7</v>
      </c>
      <c r="D76" s="70">
        <f t="shared" si="30"/>
        <v>2250000</v>
      </c>
      <c r="E76" s="93">
        <v>2250000</v>
      </c>
      <c r="F76" s="93">
        <f>299000-299000</f>
        <v>0</v>
      </c>
      <c r="G76" s="93">
        <v>0</v>
      </c>
      <c r="H76" s="93">
        <v>0</v>
      </c>
      <c r="I76" s="93">
        <v>0</v>
      </c>
      <c r="J76" s="151">
        <v>0</v>
      </c>
    </row>
    <row r="77" spans="1:10" ht="116.25" customHeight="1" x14ac:dyDescent="0.3">
      <c r="A77" s="156" t="s">
        <v>39</v>
      </c>
      <c r="B77" s="5" t="s">
        <v>35</v>
      </c>
      <c r="C77" s="2" t="s">
        <v>66</v>
      </c>
      <c r="D77" s="69">
        <f t="shared" si="30"/>
        <v>10172186.92</v>
      </c>
      <c r="E77" s="92">
        <f t="shared" ref="E77:J77" si="31">E78+E79+E80</f>
        <v>1914038.92</v>
      </c>
      <c r="F77" s="92">
        <f t="shared" si="31"/>
        <v>1651629.6</v>
      </c>
      <c r="G77" s="92">
        <f t="shared" si="31"/>
        <v>1651629.6</v>
      </c>
      <c r="H77" s="92">
        <f t="shared" si="31"/>
        <v>1651629.6</v>
      </c>
      <c r="I77" s="92">
        <f t="shared" si="31"/>
        <v>1651629.6</v>
      </c>
      <c r="J77" s="152">
        <f t="shared" si="31"/>
        <v>1651629.6</v>
      </c>
    </row>
    <row r="78" spans="1:10" ht="18" customHeight="1" x14ac:dyDescent="0.35">
      <c r="A78" s="157"/>
      <c r="B78" s="3" t="s">
        <v>3</v>
      </c>
      <c r="C78" s="2" t="s">
        <v>7</v>
      </c>
      <c r="D78" s="69">
        <f t="shared" si="30"/>
        <v>8467196.9199999999</v>
      </c>
      <c r="E78" s="92">
        <f>E82+E86+E89+E92</f>
        <v>1629873.92</v>
      </c>
      <c r="F78" s="92">
        <f>F82+F86+F89+F92</f>
        <v>1367464.6</v>
      </c>
      <c r="G78" s="92">
        <f t="shared" ref="G78:J79" si="32">G82+G86+G89+G92</f>
        <v>1367464.6</v>
      </c>
      <c r="H78" s="92">
        <f t="shared" si="32"/>
        <v>1367464.6</v>
      </c>
      <c r="I78" s="92">
        <f t="shared" si="32"/>
        <v>1367464.6</v>
      </c>
      <c r="J78" s="152">
        <f t="shared" si="32"/>
        <v>1367464.6</v>
      </c>
    </row>
    <row r="79" spans="1:10" ht="16.5" customHeight="1" x14ac:dyDescent="0.35">
      <c r="A79" s="157"/>
      <c r="B79" s="3" t="s">
        <v>4</v>
      </c>
      <c r="C79" s="2" t="s">
        <v>7</v>
      </c>
      <c r="D79" s="69">
        <f t="shared" si="30"/>
        <v>1638570</v>
      </c>
      <c r="E79" s="92">
        <f>E83+E87+E90+E93</f>
        <v>273095</v>
      </c>
      <c r="F79" s="92">
        <f>F83+F87+F90+F93</f>
        <v>273095</v>
      </c>
      <c r="G79" s="92">
        <f t="shared" si="32"/>
        <v>273095</v>
      </c>
      <c r="H79" s="92">
        <f t="shared" si="32"/>
        <v>273095</v>
      </c>
      <c r="I79" s="92">
        <f t="shared" si="32"/>
        <v>273095</v>
      </c>
      <c r="J79" s="152">
        <f t="shared" si="32"/>
        <v>273095</v>
      </c>
    </row>
    <row r="80" spans="1:10" ht="16.5" customHeight="1" x14ac:dyDescent="0.3">
      <c r="A80" s="158"/>
      <c r="B80" s="2" t="s">
        <v>5</v>
      </c>
      <c r="C80" s="2" t="s">
        <v>7</v>
      </c>
      <c r="D80" s="69">
        <f t="shared" si="30"/>
        <v>66420</v>
      </c>
      <c r="E80" s="92">
        <f>E84</f>
        <v>11070</v>
      </c>
      <c r="F80" s="92">
        <f>F84</f>
        <v>11070</v>
      </c>
      <c r="G80" s="92">
        <f t="shared" ref="G80:J80" si="33">G84</f>
        <v>11070</v>
      </c>
      <c r="H80" s="92">
        <f t="shared" si="33"/>
        <v>11070</v>
      </c>
      <c r="I80" s="92">
        <f t="shared" si="33"/>
        <v>11070</v>
      </c>
      <c r="J80" s="152">
        <f t="shared" si="33"/>
        <v>11070</v>
      </c>
    </row>
    <row r="81" spans="1:10" ht="111.75" customHeight="1" x14ac:dyDescent="0.3">
      <c r="A81" s="156" t="s">
        <v>17</v>
      </c>
      <c r="B81" s="5" t="s">
        <v>35</v>
      </c>
      <c r="C81" s="2" t="s">
        <v>66</v>
      </c>
      <c r="D81" s="69">
        <f t="shared" si="30"/>
        <v>6093379.9199999999</v>
      </c>
      <c r="E81" s="92">
        <f t="shared" ref="E81:J81" si="34">E82+E83+E84</f>
        <v>1147429.92</v>
      </c>
      <c r="F81" s="92">
        <f t="shared" si="34"/>
        <v>989190</v>
      </c>
      <c r="G81" s="92">
        <f t="shared" si="34"/>
        <v>989190</v>
      </c>
      <c r="H81" s="92">
        <f t="shared" si="34"/>
        <v>989190</v>
      </c>
      <c r="I81" s="92">
        <f t="shared" si="34"/>
        <v>989190</v>
      </c>
      <c r="J81" s="152">
        <f t="shared" si="34"/>
        <v>989190</v>
      </c>
    </row>
    <row r="82" spans="1:10" ht="19.5" customHeight="1" x14ac:dyDescent="0.35">
      <c r="A82" s="157"/>
      <c r="B82" s="3" t="s">
        <v>3</v>
      </c>
      <c r="C82" s="2" t="s">
        <v>7</v>
      </c>
      <c r="D82" s="69">
        <f t="shared" si="30"/>
        <v>5448139.9199999999</v>
      </c>
      <c r="E82" s="92">
        <f>344850+264000+272800+262000-103760.08</f>
        <v>1039889.92</v>
      </c>
      <c r="F82" s="92">
        <f>344850+264000+272800</f>
        <v>881650</v>
      </c>
      <c r="G82" s="92">
        <f t="shared" ref="G82:J82" si="35">344850+264000+272800</f>
        <v>881650</v>
      </c>
      <c r="H82" s="92">
        <f t="shared" si="35"/>
        <v>881650</v>
      </c>
      <c r="I82" s="92">
        <f t="shared" si="35"/>
        <v>881650</v>
      </c>
      <c r="J82" s="152">
        <f t="shared" si="35"/>
        <v>881650</v>
      </c>
    </row>
    <row r="83" spans="1:10" ht="19.5" customHeight="1" x14ac:dyDescent="0.35">
      <c r="A83" s="157"/>
      <c r="B83" s="3" t="s">
        <v>4</v>
      </c>
      <c r="C83" s="2" t="s">
        <v>7</v>
      </c>
      <c r="D83" s="69">
        <f t="shared" si="30"/>
        <v>578820</v>
      </c>
      <c r="E83" s="92">
        <v>96470</v>
      </c>
      <c r="F83" s="92">
        <v>96470</v>
      </c>
      <c r="G83" s="92">
        <v>96470</v>
      </c>
      <c r="H83" s="92">
        <v>96470</v>
      </c>
      <c r="I83" s="92">
        <v>96470</v>
      </c>
      <c r="J83" s="152">
        <v>96470</v>
      </c>
    </row>
    <row r="84" spans="1:10" ht="19.5" customHeight="1" x14ac:dyDescent="0.3">
      <c r="A84" s="158"/>
      <c r="B84" s="2" t="s">
        <v>5</v>
      </c>
      <c r="C84" s="2" t="s">
        <v>7</v>
      </c>
      <c r="D84" s="69">
        <f t="shared" si="30"/>
        <v>66420</v>
      </c>
      <c r="E84" s="92">
        <v>11070</v>
      </c>
      <c r="F84" s="92">
        <v>11070</v>
      </c>
      <c r="G84" s="92">
        <v>11070</v>
      </c>
      <c r="H84" s="92">
        <v>11070</v>
      </c>
      <c r="I84" s="92">
        <v>11070</v>
      </c>
      <c r="J84" s="152">
        <v>11070</v>
      </c>
    </row>
    <row r="85" spans="1:10" ht="111" customHeight="1" x14ac:dyDescent="0.3">
      <c r="A85" s="156" t="s">
        <v>16</v>
      </c>
      <c r="B85" s="5" t="s">
        <v>100</v>
      </c>
      <c r="C85" s="2" t="s">
        <v>66</v>
      </c>
      <c r="D85" s="69">
        <f t="shared" si="30"/>
        <v>765356.99999999988</v>
      </c>
      <c r="E85" s="92">
        <f>E86+E87</f>
        <v>169559</v>
      </c>
      <c r="F85" s="92">
        <f>F86+F87</f>
        <v>119159.6</v>
      </c>
      <c r="G85" s="92">
        <f t="shared" ref="G85:J85" si="36">G86+G87</f>
        <v>119159.6</v>
      </c>
      <c r="H85" s="92">
        <f t="shared" si="36"/>
        <v>119159.6</v>
      </c>
      <c r="I85" s="92">
        <f t="shared" si="36"/>
        <v>119159.6</v>
      </c>
      <c r="J85" s="152">
        <f t="shared" si="36"/>
        <v>119159.6</v>
      </c>
    </row>
    <row r="86" spans="1:10" ht="30" customHeight="1" x14ac:dyDescent="0.35">
      <c r="A86" s="157"/>
      <c r="B86" s="3" t="s">
        <v>3</v>
      </c>
      <c r="C86" s="2" t="s">
        <v>7</v>
      </c>
      <c r="D86" s="69">
        <f t="shared" si="30"/>
        <v>557607</v>
      </c>
      <c r="E86" s="92">
        <f>84534.6+50399.4</f>
        <v>134934</v>
      </c>
      <c r="F86" s="92">
        <v>84534.6</v>
      </c>
      <c r="G86" s="92">
        <v>84534.6</v>
      </c>
      <c r="H86" s="92">
        <v>84534.6</v>
      </c>
      <c r="I86" s="92">
        <v>84534.6</v>
      </c>
      <c r="J86" s="152">
        <v>84534.6</v>
      </c>
    </row>
    <row r="87" spans="1:10" ht="30" customHeight="1" x14ac:dyDescent="0.35">
      <c r="A87" s="158"/>
      <c r="B87" s="3" t="s">
        <v>4</v>
      </c>
      <c r="C87" s="2" t="s">
        <v>7</v>
      </c>
      <c r="D87" s="69">
        <f t="shared" si="30"/>
        <v>207750</v>
      </c>
      <c r="E87" s="92">
        <v>34625</v>
      </c>
      <c r="F87" s="92">
        <v>34625</v>
      </c>
      <c r="G87" s="92">
        <v>34625</v>
      </c>
      <c r="H87" s="92">
        <v>34625</v>
      </c>
      <c r="I87" s="92">
        <v>34625</v>
      </c>
      <c r="J87" s="152">
        <v>34625</v>
      </c>
    </row>
    <row r="88" spans="1:10" ht="115.5" customHeight="1" x14ac:dyDescent="0.3">
      <c r="A88" s="156" t="s">
        <v>18</v>
      </c>
      <c r="B88" s="5" t="s">
        <v>96</v>
      </c>
      <c r="C88" s="2" t="s">
        <v>66</v>
      </c>
      <c r="D88" s="69">
        <f t="shared" si="30"/>
        <v>3133450</v>
      </c>
      <c r="E88" s="92">
        <f>E89+E90</f>
        <v>567050</v>
      </c>
      <c r="F88" s="92">
        <f>F89+F90</f>
        <v>513280</v>
      </c>
      <c r="G88" s="92">
        <f t="shared" ref="G88:J88" si="37">G89+G90</f>
        <v>513280</v>
      </c>
      <c r="H88" s="92">
        <f t="shared" si="37"/>
        <v>513280</v>
      </c>
      <c r="I88" s="92">
        <f t="shared" si="37"/>
        <v>513280</v>
      </c>
      <c r="J88" s="152">
        <f t="shared" si="37"/>
        <v>513280</v>
      </c>
    </row>
    <row r="89" spans="1:10" ht="24.75" customHeight="1" x14ac:dyDescent="0.35">
      <c r="A89" s="157"/>
      <c r="B89" s="3" t="s">
        <v>3</v>
      </c>
      <c r="C89" s="2" t="s">
        <v>7</v>
      </c>
      <c r="D89" s="69">
        <f t="shared" si="30"/>
        <v>2317450</v>
      </c>
      <c r="E89" s="92">
        <f>377280+53770</f>
        <v>431050</v>
      </c>
      <c r="F89" s="92">
        <v>377280</v>
      </c>
      <c r="G89" s="92">
        <v>377280</v>
      </c>
      <c r="H89" s="92">
        <v>377280</v>
      </c>
      <c r="I89" s="92">
        <v>377280</v>
      </c>
      <c r="J89" s="152">
        <v>377280</v>
      </c>
    </row>
    <row r="90" spans="1:10" ht="21.75" customHeight="1" x14ac:dyDescent="0.35">
      <c r="A90" s="157"/>
      <c r="B90" s="3" t="s">
        <v>4</v>
      </c>
      <c r="C90" s="2" t="s">
        <v>7</v>
      </c>
      <c r="D90" s="69">
        <f t="shared" si="30"/>
        <v>816000</v>
      </c>
      <c r="E90" s="92">
        <v>136000</v>
      </c>
      <c r="F90" s="92">
        <v>136000</v>
      </c>
      <c r="G90" s="92">
        <v>136000</v>
      </c>
      <c r="H90" s="92">
        <v>136000</v>
      </c>
      <c r="I90" s="92">
        <v>136000</v>
      </c>
      <c r="J90" s="152">
        <v>136000</v>
      </c>
    </row>
    <row r="91" spans="1:10" ht="84.75" customHeight="1" x14ac:dyDescent="0.3">
      <c r="A91" s="176" t="s">
        <v>19</v>
      </c>
      <c r="B91" s="5" t="s">
        <v>96</v>
      </c>
      <c r="C91" s="2" t="s">
        <v>66</v>
      </c>
      <c r="D91" s="69">
        <f t="shared" si="30"/>
        <v>180000</v>
      </c>
      <c r="E91" s="92">
        <f>E92+E93</f>
        <v>30000</v>
      </c>
      <c r="F91" s="92">
        <f>F92+F93</f>
        <v>30000</v>
      </c>
      <c r="G91" s="92">
        <f t="shared" ref="G91:J91" si="38">G92+G93</f>
        <v>30000</v>
      </c>
      <c r="H91" s="92">
        <f t="shared" si="38"/>
        <v>30000</v>
      </c>
      <c r="I91" s="92">
        <f t="shared" si="38"/>
        <v>30000</v>
      </c>
      <c r="J91" s="152">
        <f t="shared" si="38"/>
        <v>30000</v>
      </c>
    </row>
    <row r="92" spans="1:10" ht="32.25" customHeight="1" x14ac:dyDescent="0.35">
      <c r="A92" s="177"/>
      <c r="B92" s="3" t="s">
        <v>3</v>
      </c>
      <c r="C92" s="2" t="s">
        <v>7</v>
      </c>
      <c r="D92" s="69">
        <f t="shared" si="30"/>
        <v>144000</v>
      </c>
      <c r="E92" s="92">
        <v>24000</v>
      </c>
      <c r="F92" s="92">
        <v>24000</v>
      </c>
      <c r="G92" s="92">
        <v>24000</v>
      </c>
      <c r="H92" s="92">
        <v>24000</v>
      </c>
      <c r="I92" s="92">
        <v>24000</v>
      </c>
      <c r="J92" s="152">
        <v>24000</v>
      </c>
    </row>
    <row r="93" spans="1:10" ht="32.25" customHeight="1" x14ac:dyDescent="0.35">
      <c r="A93" s="178"/>
      <c r="B93" s="3" t="s">
        <v>4</v>
      </c>
      <c r="C93" s="2" t="s">
        <v>7</v>
      </c>
      <c r="D93" s="69">
        <f t="shared" si="30"/>
        <v>36000</v>
      </c>
      <c r="E93" s="92">
        <v>6000</v>
      </c>
      <c r="F93" s="92">
        <v>6000</v>
      </c>
      <c r="G93" s="92">
        <v>6000</v>
      </c>
      <c r="H93" s="92">
        <v>6000</v>
      </c>
      <c r="I93" s="92">
        <v>6000</v>
      </c>
      <c r="J93" s="152">
        <v>6000</v>
      </c>
    </row>
    <row r="94" spans="1:10" ht="63" customHeight="1" x14ac:dyDescent="0.3">
      <c r="A94" s="62" t="s">
        <v>21</v>
      </c>
      <c r="B94" s="5" t="s">
        <v>15</v>
      </c>
      <c r="C94" s="2" t="s">
        <v>7</v>
      </c>
      <c r="D94" s="69">
        <f t="shared" ref="D94:D101" si="39">SUM(E94:J94)</f>
        <v>613918810.25</v>
      </c>
      <c r="E94" s="92">
        <f>E95+E96+E97+E98</f>
        <v>134831689.49000001</v>
      </c>
      <c r="F94" s="92">
        <f>F95+F96+F97+F98</f>
        <v>101982362.72</v>
      </c>
      <c r="G94" s="92">
        <f t="shared" ref="G94:J94" si="40">G95+G96+G97+G98</f>
        <v>94251214.50999999</v>
      </c>
      <c r="H94" s="92">
        <f t="shared" si="40"/>
        <v>94284514.50999999</v>
      </c>
      <c r="I94" s="92">
        <f t="shared" si="40"/>
        <v>94284514.50999999</v>
      </c>
      <c r="J94" s="152">
        <f t="shared" si="40"/>
        <v>94284514.50999999</v>
      </c>
    </row>
    <row r="95" spans="1:10" ht="61.5" customHeight="1" x14ac:dyDescent="0.3">
      <c r="A95" s="62" t="s">
        <v>22</v>
      </c>
      <c r="B95" s="5" t="s">
        <v>15</v>
      </c>
      <c r="C95" s="2" t="s">
        <v>7</v>
      </c>
      <c r="D95" s="69">
        <f t="shared" si="39"/>
        <v>544804012.38000011</v>
      </c>
      <c r="E95" s="92">
        <v>84127595.180000007</v>
      </c>
      <c r="F95" s="92">
        <f>91484403.1+7727610.7+63921-21020-500000-826410+256000</f>
        <v>98184504.799999997</v>
      </c>
      <c r="G95" s="92">
        <v>90598003.099999994</v>
      </c>
      <c r="H95" s="92">
        <v>90631303.099999994</v>
      </c>
      <c r="I95" s="92">
        <v>90631303.099999994</v>
      </c>
      <c r="J95" s="92">
        <v>90631303.099999994</v>
      </c>
    </row>
    <row r="96" spans="1:10" ht="80.25" customHeight="1" x14ac:dyDescent="0.3">
      <c r="A96" s="62" t="s">
        <v>57</v>
      </c>
      <c r="B96" s="2" t="s">
        <v>9</v>
      </c>
      <c r="C96" s="2" t="s">
        <v>7</v>
      </c>
      <c r="D96" s="69">
        <f t="shared" si="39"/>
        <v>21261397.650000002</v>
      </c>
      <c r="E96" s="92">
        <v>3031329.09</v>
      </c>
      <c r="F96" s="92">
        <f>3231816.41+16000-264000-223278+856546+72404+80000-78193+70435.51</f>
        <v>3761730.92</v>
      </c>
      <c r="G96" s="92">
        <f>3231816.41+16000-264000-223278+856546</f>
        <v>3617084.41</v>
      </c>
      <c r="H96" s="92">
        <f t="shared" ref="H96:J96" si="41">3231816.41+16000-264000-223278+856546</f>
        <v>3617084.41</v>
      </c>
      <c r="I96" s="92">
        <f t="shared" si="41"/>
        <v>3617084.41</v>
      </c>
      <c r="J96" s="152">
        <f t="shared" si="41"/>
        <v>3617084.41</v>
      </c>
    </row>
    <row r="97" spans="1:11" ht="81.75" customHeight="1" x14ac:dyDescent="0.3">
      <c r="A97" s="4" t="s">
        <v>56</v>
      </c>
      <c r="B97" s="5" t="s">
        <v>99</v>
      </c>
      <c r="C97" s="2" t="s">
        <v>7</v>
      </c>
      <c r="D97" s="69">
        <f t="shared" si="39"/>
        <v>216762</v>
      </c>
      <c r="E97" s="92">
        <f>40097-3970</f>
        <v>36127</v>
      </c>
      <c r="F97" s="92">
        <f>40097-3970</f>
        <v>36127</v>
      </c>
      <c r="G97" s="92">
        <f t="shared" ref="G97:J97" si="42">40097-3970</f>
        <v>36127</v>
      </c>
      <c r="H97" s="92">
        <f t="shared" si="42"/>
        <v>36127</v>
      </c>
      <c r="I97" s="92">
        <f t="shared" si="42"/>
        <v>36127</v>
      </c>
      <c r="J97" s="152">
        <f t="shared" si="42"/>
        <v>36127</v>
      </c>
    </row>
    <row r="98" spans="1:11" ht="66.75" customHeight="1" x14ac:dyDescent="0.3">
      <c r="A98" s="4" t="s">
        <v>54</v>
      </c>
      <c r="B98" s="2" t="s">
        <v>55</v>
      </c>
      <c r="C98" s="2" t="s">
        <v>7</v>
      </c>
      <c r="D98" s="69">
        <f t="shared" si="39"/>
        <v>47636638.219999999</v>
      </c>
      <c r="E98" s="92">
        <v>47636638.219999999</v>
      </c>
      <c r="F98" s="92">
        <v>0</v>
      </c>
      <c r="G98" s="92">
        <v>0</v>
      </c>
      <c r="H98" s="92">
        <v>0</v>
      </c>
      <c r="I98" s="92">
        <v>0</v>
      </c>
      <c r="J98" s="152">
        <v>0</v>
      </c>
    </row>
    <row r="99" spans="1:11" ht="61.5" customHeight="1" x14ac:dyDescent="0.3">
      <c r="A99" s="62" t="s">
        <v>23</v>
      </c>
      <c r="B99" s="2" t="s">
        <v>15</v>
      </c>
      <c r="C99" s="2" t="s">
        <v>7</v>
      </c>
      <c r="D99" s="69">
        <f t="shared" si="39"/>
        <v>1893047.67</v>
      </c>
      <c r="E99" s="92">
        <f>1000000-750000</f>
        <v>250000</v>
      </c>
      <c r="F99" s="92">
        <f>1000000-750000+328247.67+64800</f>
        <v>643047.66999999993</v>
      </c>
      <c r="G99" s="92">
        <f t="shared" ref="G99:J99" si="43">1000000-750000</f>
        <v>250000</v>
      </c>
      <c r="H99" s="92">
        <f t="shared" si="43"/>
        <v>250000</v>
      </c>
      <c r="I99" s="92">
        <f t="shared" si="43"/>
        <v>250000</v>
      </c>
      <c r="J99" s="152">
        <f t="shared" si="43"/>
        <v>250000</v>
      </c>
    </row>
    <row r="100" spans="1:11" ht="79.5" customHeight="1" x14ac:dyDescent="0.3">
      <c r="A100" s="62" t="s">
        <v>24</v>
      </c>
      <c r="B100" s="2" t="s">
        <v>15</v>
      </c>
      <c r="C100" s="2" t="s">
        <v>7</v>
      </c>
      <c r="D100" s="69">
        <f t="shared" si="39"/>
        <v>841400</v>
      </c>
      <c r="E100" s="92">
        <v>41400</v>
      </c>
      <c r="F100" s="92">
        <f>200000-200000</f>
        <v>0</v>
      </c>
      <c r="G100" s="92">
        <v>200000</v>
      </c>
      <c r="H100" s="92">
        <v>200000</v>
      </c>
      <c r="I100" s="92">
        <v>200000</v>
      </c>
      <c r="J100" s="152">
        <v>200000</v>
      </c>
    </row>
    <row r="101" spans="1:11" ht="90" x14ac:dyDescent="0.3">
      <c r="A101" s="62" t="s">
        <v>68</v>
      </c>
      <c r="B101" s="2" t="s">
        <v>95</v>
      </c>
      <c r="C101" s="2" t="s">
        <v>7</v>
      </c>
      <c r="D101" s="69">
        <f t="shared" si="39"/>
        <v>2400000</v>
      </c>
      <c r="E101" s="92">
        <v>400000</v>
      </c>
      <c r="F101" s="92">
        <v>400000</v>
      </c>
      <c r="G101" s="92">
        <v>400000</v>
      </c>
      <c r="H101" s="92">
        <v>400000</v>
      </c>
      <c r="I101" s="92">
        <v>400000</v>
      </c>
      <c r="J101" s="152">
        <v>400000</v>
      </c>
    </row>
    <row r="102" spans="1:11" ht="133.5" customHeight="1" x14ac:dyDescent="0.3">
      <c r="A102" s="62" t="s">
        <v>101</v>
      </c>
      <c r="B102" s="5" t="s">
        <v>99</v>
      </c>
      <c r="C102" s="2" t="s">
        <v>7</v>
      </c>
      <c r="D102" s="69">
        <f t="shared" ref="D102" si="44">SUM(E102:J102)</f>
        <v>3500000</v>
      </c>
      <c r="E102" s="92">
        <v>500000</v>
      </c>
      <c r="F102" s="92">
        <f>500000+500000</f>
        <v>1000000</v>
      </c>
      <c r="G102" s="92">
        <v>500000</v>
      </c>
      <c r="H102" s="92">
        <v>500000</v>
      </c>
      <c r="I102" s="92">
        <v>500000</v>
      </c>
      <c r="J102" s="152">
        <v>500000</v>
      </c>
    </row>
    <row r="103" spans="1:11" ht="106.5" customHeight="1" x14ac:dyDescent="0.3">
      <c r="A103" s="136" t="s">
        <v>120</v>
      </c>
      <c r="B103" s="142" t="s">
        <v>118</v>
      </c>
      <c r="C103" s="140" t="s">
        <v>7</v>
      </c>
      <c r="D103" s="69">
        <f>SUM(E103:J103)</f>
        <v>73874620.519999996</v>
      </c>
      <c r="E103" s="126">
        <v>0</v>
      </c>
      <c r="F103" s="92">
        <f>14783926.1-257109.98+212100</f>
        <v>14738916.119999999</v>
      </c>
      <c r="G103" s="92">
        <v>14783926.1</v>
      </c>
      <c r="H103" s="92">
        <v>14783926.1</v>
      </c>
      <c r="I103" s="92">
        <v>14783926.1</v>
      </c>
      <c r="J103" s="152">
        <v>14783926.1</v>
      </c>
    </row>
    <row r="104" spans="1:11" ht="118.5" customHeight="1" x14ac:dyDescent="0.3">
      <c r="A104" s="62" t="s">
        <v>119</v>
      </c>
      <c r="B104" s="5" t="s">
        <v>55</v>
      </c>
      <c r="C104" s="2" t="s">
        <v>7</v>
      </c>
      <c r="D104" s="69">
        <f t="shared" ref="D104:D107" si="45">SUM(E104:J104)</f>
        <v>244720618.5</v>
      </c>
      <c r="E104" s="92">
        <v>0</v>
      </c>
      <c r="F104" s="92">
        <f>48986954.7+80850+4995-300000</f>
        <v>48772799.700000003</v>
      </c>
      <c r="G104" s="92">
        <v>48986954.700000003</v>
      </c>
      <c r="H104" s="92">
        <v>48986954.700000003</v>
      </c>
      <c r="I104" s="92">
        <v>48986954.700000003</v>
      </c>
      <c r="J104" s="152">
        <v>48986954.700000003</v>
      </c>
    </row>
    <row r="105" spans="1:11" ht="33" customHeight="1" x14ac:dyDescent="0.3">
      <c r="A105" s="176" t="s">
        <v>121</v>
      </c>
      <c r="B105" s="187" t="s">
        <v>15</v>
      </c>
      <c r="C105" s="2" t="s">
        <v>66</v>
      </c>
      <c r="D105" s="116">
        <f t="shared" si="45"/>
        <v>68965520</v>
      </c>
      <c r="E105" s="92">
        <f>E106+E107</f>
        <v>0</v>
      </c>
      <c r="F105" s="92">
        <f t="shared" ref="F105:J105" si="46">F106+F107</f>
        <v>0</v>
      </c>
      <c r="G105" s="92">
        <f t="shared" si="46"/>
        <v>17241380</v>
      </c>
      <c r="H105" s="92">
        <f t="shared" si="46"/>
        <v>17241380</v>
      </c>
      <c r="I105" s="92">
        <f t="shared" si="46"/>
        <v>17241380</v>
      </c>
      <c r="J105" s="152">
        <f t="shared" si="46"/>
        <v>17241380</v>
      </c>
    </row>
    <row r="106" spans="1:11" ht="43.5" customHeight="1" x14ac:dyDescent="0.3">
      <c r="A106" s="177"/>
      <c r="B106" s="188"/>
      <c r="C106" s="140" t="s">
        <v>7</v>
      </c>
      <c r="D106" s="69">
        <f t="shared" si="45"/>
        <v>8965520</v>
      </c>
      <c r="E106" s="92">
        <v>0</v>
      </c>
      <c r="F106" s="92">
        <v>0</v>
      </c>
      <c r="G106" s="92">
        <v>2241380</v>
      </c>
      <c r="H106" s="92">
        <v>2241380</v>
      </c>
      <c r="I106" s="92">
        <v>2241380</v>
      </c>
      <c r="J106" s="152">
        <v>2241380</v>
      </c>
    </row>
    <row r="107" spans="1:11" ht="43.5" customHeight="1" x14ac:dyDescent="0.3">
      <c r="A107" s="178"/>
      <c r="B107" s="189"/>
      <c r="C107" s="140" t="s">
        <v>102</v>
      </c>
      <c r="D107" s="69">
        <f t="shared" si="45"/>
        <v>60000000</v>
      </c>
      <c r="E107" s="92">
        <v>0</v>
      </c>
      <c r="F107" s="92">
        <v>0</v>
      </c>
      <c r="G107" s="92">
        <v>15000000</v>
      </c>
      <c r="H107" s="92">
        <v>15000000</v>
      </c>
      <c r="I107" s="92">
        <v>15000000</v>
      </c>
      <c r="J107" s="152">
        <v>15000000</v>
      </c>
    </row>
    <row r="108" spans="1:11" ht="79.5" customHeight="1" x14ac:dyDescent="0.3">
      <c r="A108" s="136" t="s">
        <v>131</v>
      </c>
      <c r="B108" s="140" t="s">
        <v>95</v>
      </c>
      <c r="C108" s="140" t="s">
        <v>7</v>
      </c>
      <c r="D108" s="116">
        <f>SUM(E108:J108)</f>
        <v>36000</v>
      </c>
      <c r="E108" s="126">
        <v>0</v>
      </c>
      <c r="F108" s="126">
        <v>36000</v>
      </c>
      <c r="G108" s="126">
        <v>0</v>
      </c>
      <c r="H108" s="126">
        <v>0</v>
      </c>
      <c r="I108" s="126">
        <v>0</v>
      </c>
      <c r="J108" s="153">
        <v>0</v>
      </c>
    </row>
    <row r="109" spans="1:11" ht="129" customHeight="1" x14ac:dyDescent="0.3">
      <c r="A109" s="62" t="s">
        <v>130</v>
      </c>
      <c r="B109" s="5" t="s">
        <v>99</v>
      </c>
      <c r="C109" s="2" t="s">
        <v>7</v>
      </c>
      <c r="D109" s="69">
        <f>SUM(E109:J109)</f>
        <v>2000000</v>
      </c>
      <c r="E109" s="126">
        <v>0</v>
      </c>
      <c r="F109" s="92">
        <v>2000000</v>
      </c>
      <c r="G109" s="92">
        <v>0</v>
      </c>
      <c r="H109" s="92">
        <v>0</v>
      </c>
      <c r="I109" s="92">
        <v>0</v>
      </c>
      <c r="J109" s="152">
        <v>0</v>
      </c>
    </row>
    <row r="110" spans="1:11" ht="60" customHeight="1" x14ac:dyDescent="0.3">
      <c r="A110" s="177" t="s">
        <v>133</v>
      </c>
      <c r="B110" s="188" t="s">
        <v>15</v>
      </c>
      <c r="C110" s="140" t="s">
        <v>66</v>
      </c>
      <c r="D110" s="116">
        <f t="shared" ref="D110:D112" si="47">SUM(E110:J110)</f>
        <v>6822029.2999999998</v>
      </c>
      <c r="E110" s="92">
        <f>E111+E112</f>
        <v>0</v>
      </c>
      <c r="F110" s="92">
        <f t="shared" ref="F110:J110" si="48">F111+F112</f>
        <v>6822029.2999999998</v>
      </c>
      <c r="G110" s="92">
        <f t="shared" si="48"/>
        <v>0</v>
      </c>
      <c r="H110" s="92">
        <f t="shared" si="48"/>
        <v>0</v>
      </c>
      <c r="I110" s="92">
        <f t="shared" si="48"/>
        <v>0</v>
      </c>
      <c r="J110" s="152">
        <f t="shared" si="48"/>
        <v>0</v>
      </c>
    </row>
    <row r="111" spans="1:11" ht="60" customHeight="1" x14ac:dyDescent="0.3">
      <c r="A111" s="177"/>
      <c r="B111" s="188"/>
      <c r="C111" s="140" t="s">
        <v>7</v>
      </c>
      <c r="D111" s="69">
        <f t="shared" si="47"/>
        <v>0</v>
      </c>
      <c r="E111" s="126">
        <v>0</v>
      </c>
      <c r="F111" s="92">
        <v>0</v>
      </c>
      <c r="G111" s="92">
        <v>0</v>
      </c>
      <c r="H111" s="92">
        <v>0</v>
      </c>
      <c r="I111" s="92">
        <v>0</v>
      </c>
      <c r="J111" s="152">
        <v>0</v>
      </c>
    </row>
    <row r="112" spans="1:11" ht="60" customHeight="1" thickBot="1" x14ac:dyDescent="0.35">
      <c r="A112" s="191"/>
      <c r="B112" s="190"/>
      <c r="C112" s="144" t="s">
        <v>102</v>
      </c>
      <c r="D112" s="69">
        <f t="shared" si="47"/>
        <v>6822029.2999999998</v>
      </c>
      <c r="E112" s="126">
        <v>0</v>
      </c>
      <c r="F112" s="92">
        <v>6822029.2999999998</v>
      </c>
      <c r="G112" s="92">
        <v>0</v>
      </c>
      <c r="H112" s="92">
        <v>0</v>
      </c>
      <c r="I112" s="92">
        <v>0</v>
      </c>
      <c r="J112" s="152">
        <v>0</v>
      </c>
      <c r="K112" s="6" t="s">
        <v>111</v>
      </c>
    </row>
    <row r="113" spans="1:10" s="119" customFormat="1" ht="60.75" customHeight="1" x14ac:dyDescent="0.5">
      <c r="A113" s="173" t="s">
        <v>117</v>
      </c>
      <c r="B113" s="174"/>
      <c r="C113" s="175"/>
      <c r="D113" s="94"/>
      <c r="E113" s="94"/>
      <c r="F113" s="185"/>
      <c r="G113" s="185"/>
      <c r="H113" s="186" t="s">
        <v>104</v>
      </c>
      <c r="I113" s="186"/>
      <c r="J113" s="118"/>
    </row>
    <row r="114" spans="1:10" s="123" customFormat="1" ht="60.75" customHeight="1" x14ac:dyDescent="0.4">
      <c r="A114" s="120"/>
      <c r="B114" s="121"/>
      <c r="C114" s="122"/>
      <c r="D114" s="95"/>
      <c r="E114" s="95"/>
      <c r="F114" s="96"/>
      <c r="G114" s="96"/>
      <c r="H114" s="97"/>
      <c r="I114" s="97"/>
      <c r="J114" s="97"/>
    </row>
    <row r="115" spans="1:10" s="65" customFormat="1" ht="23.4" x14ac:dyDescent="0.45">
      <c r="A115" s="63" t="s">
        <v>41</v>
      </c>
      <c r="B115" s="63"/>
      <c r="C115" s="63"/>
      <c r="D115" s="64"/>
      <c r="E115" s="64"/>
      <c r="F115" s="64"/>
      <c r="G115" s="64"/>
      <c r="H115" s="98"/>
      <c r="I115" s="98"/>
      <c r="J115" s="98"/>
    </row>
    <row r="116" spans="1:10" x14ac:dyDescent="0.3">
      <c r="A116" s="9"/>
      <c r="B116" s="9"/>
      <c r="C116" s="9"/>
      <c r="D116" s="99"/>
      <c r="E116" s="99"/>
      <c r="F116" s="99"/>
      <c r="G116" s="99"/>
      <c r="H116" s="100"/>
      <c r="I116" s="100"/>
      <c r="J116" s="100"/>
    </row>
    <row r="117" spans="1:10" x14ac:dyDescent="0.3">
      <c r="A117" s="9"/>
      <c r="B117" s="9"/>
      <c r="C117" s="9"/>
      <c r="D117" s="99"/>
      <c r="E117" s="99"/>
      <c r="F117" s="99"/>
      <c r="G117" s="99"/>
    </row>
    <row r="118" spans="1:10" x14ac:dyDescent="0.3">
      <c r="A118" s="9"/>
      <c r="B118" s="9"/>
      <c r="C118" s="9"/>
      <c r="D118" s="99"/>
      <c r="E118" s="99"/>
      <c r="F118" s="99"/>
      <c r="G118" s="99"/>
    </row>
    <row r="119" spans="1:10" x14ac:dyDescent="0.3">
      <c r="A119" s="9"/>
      <c r="B119" s="9"/>
      <c r="C119" s="9"/>
      <c r="D119" s="99"/>
      <c r="E119" s="99"/>
      <c r="F119" s="99"/>
      <c r="G119" s="99"/>
    </row>
    <row r="120" spans="1:10" x14ac:dyDescent="0.3">
      <c r="A120" s="9"/>
      <c r="B120" s="9"/>
      <c r="C120" s="9"/>
      <c r="D120" s="99"/>
      <c r="E120" s="99"/>
      <c r="F120" s="99"/>
      <c r="G120" s="99"/>
    </row>
    <row r="121" spans="1:10" x14ac:dyDescent="0.3">
      <c r="A121" s="9"/>
      <c r="B121" s="9"/>
      <c r="C121" s="9"/>
      <c r="D121" s="99"/>
      <c r="E121" s="99"/>
      <c r="F121" s="99"/>
      <c r="G121" s="99"/>
    </row>
    <row r="122" spans="1:10" x14ac:dyDescent="0.3">
      <c r="A122" s="9"/>
      <c r="B122" s="9"/>
      <c r="C122" s="9"/>
      <c r="D122" s="99"/>
      <c r="E122" s="99"/>
      <c r="F122" s="99"/>
      <c r="G122" s="99"/>
    </row>
  </sheetData>
  <mergeCells count="37">
    <mergeCell ref="B110:B112"/>
    <mergeCell ref="A110:A112"/>
    <mergeCell ref="A55:A57"/>
    <mergeCell ref="B55:B57"/>
    <mergeCell ref="B15:B17"/>
    <mergeCell ref="A13:J13"/>
    <mergeCell ref="I16:I17"/>
    <mergeCell ref="E16:E17"/>
    <mergeCell ref="A113:C113"/>
    <mergeCell ref="A85:A87"/>
    <mergeCell ref="A91:A93"/>
    <mergeCell ref="D15:D17"/>
    <mergeCell ref="E15:J15"/>
    <mergeCell ref="A46:A48"/>
    <mergeCell ref="A65:A67"/>
    <mergeCell ref="B65:B67"/>
    <mergeCell ref="A105:A107"/>
    <mergeCell ref="F113:G113"/>
    <mergeCell ref="H113:I113"/>
    <mergeCell ref="A88:A90"/>
    <mergeCell ref="B105:B107"/>
    <mergeCell ref="C15:C17"/>
    <mergeCell ref="A77:A80"/>
    <mergeCell ref="A81:A84"/>
    <mergeCell ref="I4:J4"/>
    <mergeCell ref="B46:B48"/>
    <mergeCell ref="A49:A51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.11811023622047245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16" customWidth="1"/>
    <col min="2" max="4" width="15.5546875" style="16" customWidth="1"/>
    <col min="5" max="7" width="10" style="16" bestFit="1" customWidth="1"/>
    <col min="8" max="16384" width="9.109375" style="16"/>
  </cols>
  <sheetData>
    <row r="2" spans="1:7" ht="10.8" thickBot="1" x14ac:dyDescent="0.25"/>
    <row r="3" spans="1:7" ht="88.5" customHeight="1" x14ac:dyDescent="0.2">
      <c r="A3" s="198" t="s">
        <v>39</v>
      </c>
      <c r="B3" s="20" t="s">
        <v>35</v>
      </c>
      <c r="C3" s="21" t="s">
        <v>7</v>
      </c>
      <c r="D3" s="22">
        <f>D4+D5+D6</f>
        <v>5945640</v>
      </c>
      <c r="E3" s="23">
        <f>E4+E5+E6</f>
        <v>1981880</v>
      </c>
      <c r="F3" s="23">
        <f t="shared" ref="F3:G3" si="0">F4+F5+F6</f>
        <v>1981880</v>
      </c>
      <c r="G3" s="24">
        <f t="shared" si="0"/>
        <v>1981880</v>
      </c>
    </row>
    <row r="4" spans="1:7" ht="18" customHeight="1" x14ac:dyDescent="0.2">
      <c r="A4" s="196"/>
      <c r="B4" s="19" t="s">
        <v>3</v>
      </c>
      <c r="C4" s="12" t="s">
        <v>7</v>
      </c>
      <c r="D4" s="13">
        <f t="shared" ref="D4:G6" si="1">D8+D12+D16+D20+D24</f>
        <v>3942180</v>
      </c>
      <c r="E4" s="14">
        <f t="shared" si="1"/>
        <v>1314060</v>
      </c>
      <c r="F4" s="14">
        <f t="shared" si="1"/>
        <v>1314060</v>
      </c>
      <c r="G4" s="15">
        <f t="shared" si="1"/>
        <v>1314060</v>
      </c>
    </row>
    <row r="5" spans="1:7" ht="18" customHeight="1" x14ac:dyDescent="0.2">
      <c r="A5" s="196"/>
      <c r="B5" s="19" t="s">
        <v>4</v>
      </c>
      <c r="C5" s="12" t="s">
        <v>7</v>
      </c>
      <c r="D5" s="13">
        <f t="shared" si="1"/>
        <v>1970160</v>
      </c>
      <c r="E5" s="14">
        <f t="shared" si="1"/>
        <v>656720</v>
      </c>
      <c r="F5" s="14">
        <f t="shared" si="1"/>
        <v>656720</v>
      </c>
      <c r="G5" s="15">
        <f t="shared" si="1"/>
        <v>656720</v>
      </c>
    </row>
    <row r="6" spans="1:7" ht="18" customHeight="1" x14ac:dyDescent="0.2">
      <c r="A6" s="199"/>
      <c r="B6" s="18" t="s">
        <v>5</v>
      </c>
      <c r="C6" s="12" t="s">
        <v>7</v>
      </c>
      <c r="D6" s="13">
        <f t="shared" si="1"/>
        <v>33300</v>
      </c>
      <c r="E6" s="14">
        <f t="shared" si="1"/>
        <v>11100</v>
      </c>
      <c r="F6" s="14">
        <f t="shared" si="1"/>
        <v>11100</v>
      </c>
      <c r="G6" s="15">
        <f t="shared" si="1"/>
        <v>11100</v>
      </c>
    </row>
    <row r="7" spans="1:7" ht="61.2" x14ac:dyDescent="0.2">
      <c r="A7" s="195" t="s">
        <v>17</v>
      </c>
      <c r="B7" s="11" t="s">
        <v>35</v>
      </c>
      <c r="C7" s="12" t="s">
        <v>7</v>
      </c>
      <c r="D7" s="13">
        <f>D8+D9+D10</f>
        <v>2060265.48</v>
      </c>
      <c r="E7" s="14">
        <f>E8+E9+E10</f>
        <v>648585.48</v>
      </c>
      <c r="F7" s="14">
        <f t="shared" ref="F7:G7" si="2">F8+F9+F10</f>
        <v>705840</v>
      </c>
      <c r="G7" s="15">
        <f t="shared" si="2"/>
        <v>705840</v>
      </c>
    </row>
    <row r="8" spans="1:7" x14ac:dyDescent="0.2">
      <c r="A8" s="196"/>
      <c r="B8" s="19" t="s">
        <v>3</v>
      </c>
      <c r="C8" s="12" t="s">
        <v>7</v>
      </c>
      <c r="D8" s="13">
        <f>E8+F8+G8</f>
        <v>1150386.48</v>
      </c>
      <c r="E8" s="14">
        <v>364746.48</v>
      </c>
      <c r="F8" s="14">
        <v>392820</v>
      </c>
      <c r="G8" s="15">
        <v>392820</v>
      </c>
    </row>
    <row r="9" spans="1:7" x14ac:dyDescent="0.2">
      <c r="A9" s="196"/>
      <c r="B9" s="19" t="s">
        <v>4</v>
      </c>
      <c r="C9" s="12" t="s">
        <v>7</v>
      </c>
      <c r="D9" s="13">
        <f t="shared" ref="D9:D10" si="3">E9+F9+G9</f>
        <v>876579</v>
      </c>
      <c r="E9" s="14">
        <f>301920-29181</f>
        <v>272739</v>
      </c>
      <c r="F9" s="14">
        <v>301920</v>
      </c>
      <c r="G9" s="15">
        <v>301920</v>
      </c>
    </row>
    <row r="10" spans="1:7" x14ac:dyDescent="0.2">
      <c r="A10" s="199"/>
      <c r="B10" s="18" t="s">
        <v>5</v>
      </c>
      <c r="C10" s="12" t="s">
        <v>7</v>
      </c>
      <c r="D10" s="13">
        <f t="shared" si="3"/>
        <v>33300</v>
      </c>
      <c r="E10" s="14">
        <v>11100</v>
      </c>
      <c r="F10" s="14">
        <v>11100</v>
      </c>
      <c r="G10" s="15">
        <v>11100</v>
      </c>
    </row>
    <row r="11" spans="1:7" ht="61.2" x14ac:dyDescent="0.2">
      <c r="A11" s="195" t="s">
        <v>16</v>
      </c>
      <c r="B11" s="11" t="s">
        <v>35</v>
      </c>
      <c r="C11" s="12" t="s">
        <v>7</v>
      </c>
      <c r="D11" s="13">
        <f>D12+D13+D14</f>
        <v>838000</v>
      </c>
      <c r="E11" s="14">
        <f>E12+E13+E14</f>
        <v>238000</v>
      </c>
      <c r="F11" s="14">
        <f t="shared" ref="F11:G11" si="4">F12+F13+F14</f>
        <v>300000</v>
      </c>
      <c r="G11" s="15">
        <f t="shared" si="4"/>
        <v>300000</v>
      </c>
    </row>
    <row r="12" spans="1:7" x14ac:dyDescent="0.2">
      <c r="A12" s="196"/>
      <c r="B12" s="19" t="s">
        <v>3</v>
      </c>
      <c r="C12" s="12" t="s">
        <v>7</v>
      </c>
      <c r="D12" s="13">
        <f t="shared" ref="D12:D14" si="5">E12+F12+G12</f>
        <v>538000</v>
      </c>
      <c r="E12" s="14">
        <v>138000</v>
      </c>
      <c r="F12" s="14">
        <v>200000</v>
      </c>
      <c r="G12" s="15">
        <v>200000</v>
      </c>
    </row>
    <row r="13" spans="1:7" x14ac:dyDescent="0.2">
      <c r="A13" s="196"/>
      <c r="B13" s="19" t="s">
        <v>4</v>
      </c>
      <c r="C13" s="12" t="s">
        <v>7</v>
      </c>
      <c r="D13" s="13">
        <f t="shared" si="5"/>
        <v>300000</v>
      </c>
      <c r="E13" s="14">
        <v>100000</v>
      </c>
      <c r="F13" s="14">
        <v>100000</v>
      </c>
      <c r="G13" s="15">
        <v>100000</v>
      </c>
    </row>
    <row r="14" spans="1:7" x14ac:dyDescent="0.2">
      <c r="A14" s="199"/>
      <c r="B14" s="18" t="s">
        <v>5</v>
      </c>
      <c r="C14" s="12" t="s">
        <v>7</v>
      </c>
      <c r="D14" s="13">
        <f t="shared" si="5"/>
        <v>0</v>
      </c>
      <c r="E14" s="14">
        <v>0</v>
      </c>
      <c r="F14" s="14">
        <v>0</v>
      </c>
      <c r="G14" s="15">
        <v>0</v>
      </c>
    </row>
    <row r="15" spans="1:7" ht="61.2" x14ac:dyDescent="0.2">
      <c r="A15" s="195" t="s">
        <v>18</v>
      </c>
      <c r="B15" s="11" t="s">
        <v>35</v>
      </c>
      <c r="C15" s="12" t="s">
        <v>7</v>
      </c>
      <c r="D15" s="13">
        <f>D16+D17+D18</f>
        <v>2624974.52</v>
      </c>
      <c r="E15" s="14">
        <f>E16+E17+E18</f>
        <v>954494.52</v>
      </c>
      <c r="F15" s="14">
        <f t="shared" ref="F15:G15" si="6">F16+F17+F18</f>
        <v>835240</v>
      </c>
      <c r="G15" s="15">
        <f t="shared" si="6"/>
        <v>835240</v>
      </c>
    </row>
    <row r="16" spans="1:7" x14ac:dyDescent="0.2">
      <c r="A16" s="196"/>
      <c r="B16" s="17" t="s">
        <v>3</v>
      </c>
      <c r="C16" s="12" t="s">
        <v>7</v>
      </c>
      <c r="D16" s="13">
        <f t="shared" ref="D16:D18" si="7">E16+F16+G16</f>
        <v>1936393.52</v>
      </c>
      <c r="E16" s="14">
        <v>705513.52</v>
      </c>
      <c r="F16" s="14">
        <v>615440</v>
      </c>
      <c r="G16" s="15">
        <v>615440</v>
      </c>
    </row>
    <row r="17" spans="1:7" x14ac:dyDescent="0.2">
      <c r="A17" s="196"/>
      <c r="B17" s="17" t="s">
        <v>4</v>
      </c>
      <c r="C17" s="12" t="s">
        <v>7</v>
      </c>
      <c r="D17" s="13">
        <f t="shared" si="7"/>
        <v>688581</v>
      </c>
      <c r="E17" s="14">
        <f>219800+29181</f>
        <v>248981</v>
      </c>
      <c r="F17" s="14">
        <v>219800</v>
      </c>
      <c r="G17" s="15">
        <v>219800</v>
      </c>
    </row>
    <row r="18" spans="1:7" x14ac:dyDescent="0.2">
      <c r="A18" s="199"/>
      <c r="B18" s="18" t="s">
        <v>5</v>
      </c>
      <c r="C18" s="12" t="s">
        <v>7</v>
      </c>
      <c r="D18" s="13">
        <f t="shared" si="7"/>
        <v>0</v>
      </c>
      <c r="E18" s="14">
        <v>0</v>
      </c>
      <c r="F18" s="14">
        <v>0</v>
      </c>
      <c r="G18" s="15">
        <v>0</v>
      </c>
    </row>
    <row r="19" spans="1:7" ht="61.2" x14ac:dyDescent="0.2">
      <c r="A19" s="195" t="s">
        <v>19</v>
      </c>
      <c r="B19" s="11" t="s">
        <v>35</v>
      </c>
      <c r="C19" s="12" t="s">
        <v>7</v>
      </c>
      <c r="D19" s="13">
        <f>D20+D21+D22</f>
        <v>363000</v>
      </c>
      <c r="E19" s="14">
        <f>E20+E21+E22</f>
        <v>121000</v>
      </c>
      <c r="F19" s="14">
        <f t="shared" ref="F19:G19" si="8">F20+F21+F22</f>
        <v>121000</v>
      </c>
      <c r="G19" s="15">
        <f t="shared" si="8"/>
        <v>121000</v>
      </c>
    </row>
    <row r="20" spans="1:7" x14ac:dyDescent="0.2">
      <c r="A20" s="196"/>
      <c r="B20" s="17" t="s">
        <v>3</v>
      </c>
      <c r="C20" s="12" t="s">
        <v>7</v>
      </c>
      <c r="D20" s="13">
        <f t="shared" ref="D20:D22" si="9">E20+F20+G20</f>
        <v>258000</v>
      </c>
      <c r="E20" s="14">
        <v>86000</v>
      </c>
      <c r="F20" s="14">
        <v>86000</v>
      </c>
      <c r="G20" s="15">
        <v>86000</v>
      </c>
    </row>
    <row r="21" spans="1:7" x14ac:dyDescent="0.2">
      <c r="A21" s="196"/>
      <c r="B21" s="17" t="s">
        <v>4</v>
      </c>
      <c r="C21" s="12" t="s">
        <v>7</v>
      </c>
      <c r="D21" s="13">
        <f t="shared" si="9"/>
        <v>105000</v>
      </c>
      <c r="E21" s="14">
        <v>35000</v>
      </c>
      <c r="F21" s="14">
        <v>35000</v>
      </c>
      <c r="G21" s="15">
        <v>35000</v>
      </c>
    </row>
    <row r="22" spans="1:7" x14ac:dyDescent="0.2">
      <c r="A22" s="199"/>
      <c r="B22" s="18" t="s">
        <v>5</v>
      </c>
      <c r="C22" s="12" t="s">
        <v>7</v>
      </c>
      <c r="D22" s="13">
        <f t="shared" si="9"/>
        <v>0</v>
      </c>
      <c r="E22" s="14">
        <v>0</v>
      </c>
      <c r="F22" s="14">
        <v>0</v>
      </c>
      <c r="G22" s="15">
        <v>0</v>
      </c>
    </row>
    <row r="23" spans="1:7" ht="61.2" x14ac:dyDescent="0.2">
      <c r="A23" s="195" t="s">
        <v>20</v>
      </c>
      <c r="B23" s="11" t="s">
        <v>35</v>
      </c>
      <c r="C23" s="12" t="s">
        <v>7</v>
      </c>
      <c r="D23" s="13">
        <f>D24+D25+D26</f>
        <v>59400</v>
      </c>
      <c r="E23" s="14">
        <f>E24+E25+E26</f>
        <v>19800</v>
      </c>
      <c r="F23" s="14">
        <f t="shared" ref="F23:G23" si="10">F24+F25+F26</f>
        <v>19800</v>
      </c>
      <c r="G23" s="15">
        <f t="shared" si="10"/>
        <v>19800</v>
      </c>
    </row>
    <row r="24" spans="1:7" x14ac:dyDescent="0.2">
      <c r="A24" s="196"/>
      <c r="B24" s="17" t="s">
        <v>3</v>
      </c>
      <c r="C24" s="12" t="s">
        <v>7</v>
      </c>
      <c r="D24" s="13">
        <f t="shared" ref="D24:D26" si="11">E24+F24+G24</f>
        <v>59400</v>
      </c>
      <c r="E24" s="14">
        <v>19800</v>
      </c>
      <c r="F24" s="14">
        <v>19800</v>
      </c>
      <c r="G24" s="15">
        <v>19800</v>
      </c>
    </row>
    <row r="25" spans="1:7" x14ac:dyDescent="0.2">
      <c r="A25" s="196"/>
      <c r="B25" s="17" t="s">
        <v>4</v>
      </c>
      <c r="C25" s="12" t="s">
        <v>7</v>
      </c>
      <c r="D25" s="13">
        <f t="shared" si="11"/>
        <v>0</v>
      </c>
      <c r="E25" s="14">
        <v>0</v>
      </c>
      <c r="F25" s="14">
        <v>0</v>
      </c>
      <c r="G25" s="15">
        <v>0</v>
      </c>
    </row>
    <row r="26" spans="1:7" ht="10.8" thickBot="1" x14ac:dyDescent="0.25">
      <c r="A26" s="197"/>
      <c r="B26" s="25" t="s">
        <v>5</v>
      </c>
      <c r="C26" s="26" t="s">
        <v>7</v>
      </c>
      <c r="D26" s="27">
        <f t="shared" si="11"/>
        <v>0</v>
      </c>
      <c r="E26" s="28">
        <v>0</v>
      </c>
      <c r="F26" s="28">
        <v>0</v>
      </c>
      <c r="G26" s="29">
        <v>0</v>
      </c>
    </row>
    <row r="36" spans="1:4" ht="10.8" thickBot="1" x14ac:dyDescent="0.25"/>
    <row r="37" spans="1:4" ht="16.2" thickBot="1" x14ac:dyDescent="0.25">
      <c r="A37" s="30" t="s">
        <v>43</v>
      </c>
      <c r="B37" s="32" t="s">
        <v>44</v>
      </c>
      <c r="C37" s="32" t="s">
        <v>2</v>
      </c>
      <c r="D37" s="32" t="s">
        <v>42</v>
      </c>
    </row>
    <row r="38" spans="1:4" ht="125.25" customHeight="1" x14ac:dyDescent="0.2">
      <c r="A38" s="34" t="s">
        <v>45</v>
      </c>
      <c r="B38" s="35">
        <v>14262541.890000001</v>
      </c>
      <c r="C38" s="35">
        <v>12825267.32</v>
      </c>
      <c r="D38" s="36">
        <v>12825267.32</v>
      </c>
    </row>
    <row r="39" spans="1:4" ht="24" customHeight="1" x14ac:dyDescent="0.3">
      <c r="A39" s="37" t="s">
        <v>47</v>
      </c>
      <c r="B39" s="33">
        <v>19451044.690000001</v>
      </c>
      <c r="C39" s="33">
        <v>16646038.779999999</v>
      </c>
      <c r="D39" s="38">
        <v>16546038.779999999</v>
      </c>
    </row>
    <row r="40" spans="1:4" ht="32.25" customHeight="1" thickBot="1" x14ac:dyDescent="0.35">
      <c r="A40" s="39" t="s">
        <v>46</v>
      </c>
      <c r="B40" s="40">
        <f>B38-B39</f>
        <v>-5188502.8000000007</v>
      </c>
      <c r="C40" s="40">
        <f t="shared" ref="C40:D40" si="12">C38-C39</f>
        <v>-3820771.459999999</v>
      </c>
      <c r="D40" s="42">
        <f t="shared" si="12"/>
        <v>-3720771.459999999</v>
      </c>
    </row>
    <row r="41" spans="1:4" x14ac:dyDescent="0.2">
      <c r="A41" s="43"/>
      <c r="B41" s="44"/>
      <c r="C41" s="44"/>
      <c r="D41" s="45"/>
    </row>
    <row r="42" spans="1:4" x14ac:dyDescent="0.2">
      <c r="A42" s="43"/>
      <c r="B42" s="44"/>
      <c r="C42" s="44"/>
      <c r="D42" s="45"/>
    </row>
    <row r="43" spans="1:4" ht="16.2" thickBot="1" x14ac:dyDescent="0.35">
      <c r="A43" s="46" t="s">
        <v>48</v>
      </c>
      <c r="B43" s="47">
        <v>129048373.61</v>
      </c>
      <c r="C43" s="47">
        <v>123409494.86</v>
      </c>
      <c r="D43" s="48">
        <v>123309494.86</v>
      </c>
    </row>
    <row r="44" spans="1:4" ht="16.2" thickBot="1" x14ac:dyDescent="0.35">
      <c r="A44" s="57" t="s">
        <v>49</v>
      </c>
      <c r="B44" s="60">
        <f>SUM(B40:B43)</f>
        <v>123859870.81</v>
      </c>
      <c r="C44" s="60">
        <f>SUM(C40:C43)</f>
        <v>119588723.40000001</v>
      </c>
      <c r="D44" s="61">
        <f>SUM(D40:D43)</f>
        <v>119588723.40000001</v>
      </c>
    </row>
    <row r="45" spans="1:4" ht="16.2" thickBot="1" x14ac:dyDescent="0.35">
      <c r="A45" s="49"/>
      <c r="B45" s="50"/>
      <c r="C45" s="50"/>
      <c r="D45" s="50"/>
    </row>
    <row r="46" spans="1:4" ht="15.6" x14ac:dyDescent="0.3">
      <c r="A46" s="51" t="s">
        <v>52</v>
      </c>
      <c r="B46" s="53">
        <v>123842870.8</v>
      </c>
      <c r="C46" s="53">
        <v>119571723.39</v>
      </c>
      <c r="D46" s="54">
        <v>119571723.39</v>
      </c>
    </row>
    <row r="47" spans="1:4" ht="23.25" customHeight="1" x14ac:dyDescent="0.3">
      <c r="A47" s="37" t="s">
        <v>50</v>
      </c>
      <c r="B47" s="41">
        <v>17120.009999999998</v>
      </c>
      <c r="C47" s="41">
        <v>17120.009999999998</v>
      </c>
      <c r="D47" s="52">
        <v>17120.009999999998</v>
      </c>
    </row>
    <row r="48" spans="1:4" ht="16.2" thickBot="1" x14ac:dyDescent="0.35">
      <c r="A48" s="46" t="s">
        <v>51</v>
      </c>
      <c r="B48" s="55">
        <v>-120</v>
      </c>
      <c r="C48" s="55">
        <v>-120</v>
      </c>
      <c r="D48" s="56">
        <v>-120</v>
      </c>
    </row>
    <row r="49" spans="1:4" ht="16.2" thickBot="1" x14ac:dyDescent="0.35">
      <c r="A49" s="57" t="s">
        <v>53</v>
      </c>
      <c r="B49" s="58">
        <f>SUM(B46:B48)</f>
        <v>123859870.81</v>
      </c>
      <c r="C49" s="58">
        <f t="shared" ref="C49:D49" si="13">SUM(C46:C48)</f>
        <v>119588723.40000001</v>
      </c>
      <c r="D49" s="59">
        <f t="shared" si="13"/>
        <v>119588723.40000001</v>
      </c>
    </row>
    <row r="50" spans="1:4" ht="24" customHeight="1" x14ac:dyDescent="0.2">
      <c r="B50" s="31">
        <f>B49-B44</f>
        <v>0</v>
      </c>
      <c r="C50" s="31">
        <f t="shared" ref="C50:D50" si="14">C49-C44</f>
        <v>0</v>
      </c>
      <c r="D50" s="31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85" t="s">
        <v>79</v>
      </c>
    </row>
    <row r="3" spans="1:8" ht="15" thickBot="1" x14ac:dyDescent="0.35"/>
    <row r="4" spans="1:8" ht="15" thickBot="1" x14ac:dyDescent="0.35">
      <c r="A4" s="82" t="s">
        <v>81</v>
      </c>
      <c r="B4" s="78" t="s">
        <v>65</v>
      </c>
      <c r="C4" s="75" t="s">
        <v>64</v>
      </c>
      <c r="D4" s="75" t="s">
        <v>70</v>
      </c>
      <c r="E4" s="75" t="s">
        <v>71</v>
      </c>
      <c r="F4" s="75" t="s">
        <v>72</v>
      </c>
      <c r="G4" s="76" t="s">
        <v>73</v>
      </c>
      <c r="H4" s="77" t="s">
        <v>80</v>
      </c>
    </row>
    <row r="5" spans="1:8" ht="72.599999999999994" thickBot="1" x14ac:dyDescent="0.35">
      <c r="A5" s="81" t="s">
        <v>85</v>
      </c>
      <c r="B5" s="79">
        <v>40922577.420000002</v>
      </c>
      <c r="C5" s="71">
        <v>26848409.859999999</v>
      </c>
      <c r="D5" s="71">
        <v>13508409.689999999</v>
      </c>
      <c r="E5" s="71">
        <v>13508409.689999999</v>
      </c>
      <c r="F5" s="71">
        <v>13508409.689999999</v>
      </c>
      <c r="G5" s="72">
        <v>13508409.689999999</v>
      </c>
      <c r="H5" s="83">
        <f>SUM(B5:G5)</f>
        <v>121804626.03999999</v>
      </c>
    </row>
    <row r="6" spans="1:8" ht="43.8" thickBot="1" x14ac:dyDescent="0.35">
      <c r="A6" s="81" t="s">
        <v>86</v>
      </c>
      <c r="B6" s="80">
        <v>30751578.940000001</v>
      </c>
      <c r="C6" s="73">
        <v>30751578.940000001</v>
      </c>
      <c r="D6" s="73">
        <v>30751578.940000001</v>
      </c>
      <c r="E6" s="73">
        <v>30751578.940000001</v>
      </c>
      <c r="F6" s="73">
        <v>30751578.940000001</v>
      </c>
      <c r="G6" s="74">
        <v>30751578.940000001</v>
      </c>
      <c r="H6" s="84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2020-11-10T01:55:47Z</dcterms:modified>
</cp:coreProperties>
</file>