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5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програм)'!$A$1:$K$101</definedName>
  </definedNames>
  <calcPr calcId="152511"/>
</workbook>
</file>

<file path=xl/calcChain.xml><?xml version="1.0" encoding="utf-8"?>
<calcChain xmlns="http://schemas.openxmlformats.org/spreadsheetml/2006/main">
  <c r="E49" i="4" l="1"/>
  <c r="E48" i="4"/>
  <c r="E71" i="4" l="1"/>
  <c r="E51" i="4"/>
  <c r="D97" i="4" l="1"/>
  <c r="D96" i="4"/>
  <c r="D95" i="4"/>
  <c r="J94" i="4"/>
  <c r="I94" i="4"/>
  <c r="H94" i="4"/>
  <c r="G94" i="4"/>
  <c r="F94" i="4"/>
  <c r="E94" i="4"/>
  <c r="D94" i="4"/>
  <c r="J93" i="4"/>
  <c r="I93" i="4"/>
  <c r="H93" i="4"/>
  <c r="G93" i="4"/>
  <c r="G89" i="4" s="1"/>
  <c r="F93" i="4"/>
  <c r="E93" i="4"/>
  <c r="D93" i="4" s="1"/>
  <c r="J92" i="4"/>
  <c r="I92" i="4"/>
  <c r="H92" i="4"/>
  <c r="G92" i="4"/>
  <c r="F92" i="4"/>
  <c r="E92" i="4"/>
  <c r="D92" i="4"/>
  <c r="E91" i="4"/>
  <c r="D91" i="4"/>
  <c r="J90" i="4"/>
  <c r="I90" i="4"/>
  <c r="I89" i="4" s="1"/>
  <c r="H90" i="4"/>
  <c r="E90" i="4"/>
  <c r="D90" i="4" s="1"/>
  <c r="J89" i="4"/>
  <c r="H89" i="4"/>
  <c r="F89" i="4"/>
  <c r="D88" i="4"/>
  <c r="D87" i="4"/>
  <c r="J86" i="4"/>
  <c r="I86" i="4"/>
  <c r="H86" i="4"/>
  <c r="G86" i="4"/>
  <c r="F86" i="4"/>
  <c r="E86" i="4"/>
  <c r="D86" i="4" s="1"/>
  <c r="D85" i="4"/>
  <c r="D84" i="4"/>
  <c r="J83" i="4"/>
  <c r="I83" i="4"/>
  <c r="H83" i="4"/>
  <c r="G83" i="4"/>
  <c r="F83" i="4"/>
  <c r="E83" i="4"/>
  <c r="D83" i="4"/>
  <c r="D82" i="4"/>
  <c r="D81" i="4"/>
  <c r="J80" i="4"/>
  <c r="I80" i="4"/>
  <c r="H80" i="4"/>
  <c r="G80" i="4"/>
  <c r="F80" i="4"/>
  <c r="E80" i="4"/>
  <c r="D80" i="4" s="1"/>
  <c r="D79" i="4"/>
  <c r="D78" i="4"/>
  <c r="E77" i="4"/>
  <c r="D77" i="4" s="1"/>
  <c r="J76" i="4"/>
  <c r="I76" i="4"/>
  <c r="H76" i="4"/>
  <c r="G76" i="4"/>
  <c r="F76" i="4"/>
  <c r="J75" i="4"/>
  <c r="I75" i="4"/>
  <c r="H75" i="4"/>
  <c r="G75" i="4"/>
  <c r="F75" i="4"/>
  <c r="E75" i="4"/>
  <c r="D75" i="4" s="1"/>
  <c r="J74" i="4"/>
  <c r="I74" i="4"/>
  <c r="H74" i="4"/>
  <c r="G74" i="4"/>
  <c r="F74" i="4"/>
  <c r="E74" i="4"/>
  <c r="D74" i="4"/>
  <c r="J73" i="4"/>
  <c r="I73" i="4"/>
  <c r="I72" i="4" s="1"/>
  <c r="I62" i="4" s="1"/>
  <c r="H73" i="4"/>
  <c r="G73" i="4"/>
  <c r="G72" i="4" s="1"/>
  <c r="G62" i="4" s="1"/>
  <c r="F73" i="4"/>
  <c r="E73" i="4"/>
  <c r="D73" i="4" s="1"/>
  <c r="J72" i="4"/>
  <c r="H72" i="4"/>
  <c r="F72" i="4"/>
  <c r="D71" i="4"/>
  <c r="D70" i="4"/>
  <c r="D69" i="4"/>
  <c r="D68" i="4"/>
  <c r="D67" i="4"/>
  <c r="E66" i="4"/>
  <c r="D66" i="4" s="1"/>
  <c r="J65" i="4"/>
  <c r="J62" i="4" s="1"/>
  <c r="I65" i="4"/>
  <c r="H65" i="4"/>
  <c r="H62" i="4" s="1"/>
  <c r="G65" i="4"/>
  <c r="F65" i="4"/>
  <c r="F62" i="4" s="1"/>
  <c r="D61" i="4"/>
  <c r="D60" i="4"/>
  <c r="E59" i="4"/>
  <c r="D59" i="4" s="1"/>
  <c r="E58" i="4"/>
  <c r="D58" i="4" s="1"/>
  <c r="J57" i="4"/>
  <c r="I57" i="4"/>
  <c r="H57" i="4"/>
  <c r="G57" i="4"/>
  <c r="F57" i="4"/>
  <c r="D56" i="4"/>
  <c r="E55" i="4"/>
  <c r="E54" i="4"/>
  <c r="J53" i="4"/>
  <c r="I53" i="4"/>
  <c r="H53" i="4"/>
  <c r="G53" i="4"/>
  <c r="F53" i="4"/>
  <c r="E52" i="4"/>
  <c r="D52" i="4"/>
  <c r="J51" i="4"/>
  <c r="I51" i="4"/>
  <c r="H51" i="4"/>
  <c r="G51" i="4"/>
  <c r="F51" i="4"/>
  <c r="D51" i="4"/>
  <c r="E50" i="4"/>
  <c r="D50" i="4" s="1"/>
  <c r="D49" i="4"/>
  <c r="J48" i="4"/>
  <c r="J47" i="4" s="1"/>
  <c r="J45" i="4" s="1"/>
  <c r="I48" i="4"/>
  <c r="H48" i="4"/>
  <c r="H47" i="4" s="1"/>
  <c r="H45" i="4" s="1"/>
  <c r="G48" i="4"/>
  <c r="F48" i="4"/>
  <c r="F47" i="4" s="1"/>
  <c r="F45" i="4" s="1"/>
  <c r="D48" i="4"/>
  <c r="I47" i="4"/>
  <c r="I45" i="4" s="1"/>
  <c r="I44" i="4" s="1"/>
  <c r="G47" i="4"/>
  <c r="E47" i="4"/>
  <c r="D47" i="4" s="1"/>
  <c r="J46" i="4"/>
  <c r="J29" i="4" s="1"/>
  <c r="J20" i="4" s="1"/>
  <c r="I46" i="4"/>
  <c r="H46" i="4"/>
  <c r="H29" i="4" s="1"/>
  <c r="H20" i="4" s="1"/>
  <c r="G46" i="4"/>
  <c r="F46" i="4"/>
  <c r="F29" i="4" s="1"/>
  <c r="F20" i="4" s="1"/>
  <c r="G45" i="4"/>
  <c r="G44" i="4" s="1"/>
  <c r="J44" i="4"/>
  <c r="H44" i="4"/>
  <c r="F44" i="4"/>
  <c r="D43" i="4"/>
  <c r="J42" i="4"/>
  <c r="J41" i="4" s="1"/>
  <c r="I42" i="4"/>
  <c r="H42" i="4"/>
  <c r="H41" i="4" s="1"/>
  <c r="G42" i="4"/>
  <c r="F42" i="4"/>
  <c r="F41" i="4" s="1"/>
  <c r="E42" i="4"/>
  <c r="D42" i="4"/>
  <c r="I41" i="4"/>
  <c r="G41" i="4"/>
  <c r="E41" i="4"/>
  <c r="D41" i="4" s="1"/>
  <c r="J40" i="4"/>
  <c r="I40" i="4"/>
  <c r="H40" i="4"/>
  <c r="G40" i="4"/>
  <c r="F40" i="4"/>
  <c r="E40" i="4"/>
  <c r="D40" i="4"/>
  <c r="J39" i="4"/>
  <c r="I39" i="4"/>
  <c r="H39" i="4"/>
  <c r="G39" i="4"/>
  <c r="F39" i="4"/>
  <c r="E39" i="4"/>
  <c r="D39" i="4" s="1"/>
  <c r="E35" i="4"/>
  <c r="D35" i="4" s="1"/>
  <c r="J34" i="4"/>
  <c r="I34" i="4"/>
  <c r="H34" i="4"/>
  <c r="G34" i="4"/>
  <c r="F34" i="4"/>
  <c r="E34" i="4"/>
  <c r="D34" i="4"/>
  <c r="D33" i="4"/>
  <c r="J32" i="4"/>
  <c r="I32" i="4"/>
  <c r="H32" i="4"/>
  <c r="G32" i="4"/>
  <c r="F32" i="4"/>
  <c r="E32" i="4"/>
  <c r="D32" i="4"/>
  <c r="J31" i="4"/>
  <c r="I31" i="4"/>
  <c r="I30" i="4" s="1"/>
  <c r="H31" i="4"/>
  <c r="G31" i="4"/>
  <c r="G30" i="4" s="1"/>
  <c r="F31" i="4"/>
  <c r="E31" i="4"/>
  <c r="J30" i="4"/>
  <c r="J28" i="4" s="1"/>
  <c r="J27" i="4" s="1"/>
  <c r="H30" i="4"/>
  <c r="F30" i="4"/>
  <c r="F28" i="4" s="1"/>
  <c r="F27" i="4" s="1"/>
  <c r="I29" i="4"/>
  <c r="I20" i="4" s="1"/>
  <c r="G29" i="4"/>
  <c r="H28" i="4"/>
  <c r="H27" i="4" s="1"/>
  <c r="J24" i="4"/>
  <c r="J21" i="4" s="1"/>
  <c r="J19" i="4" s="1"/>
  <c r="J18" i="4" s="1"/>
  <c r="I24" i="4"/>
  <c r="H24" i="4"/>
  <c r="G24" i="4"/>
  <c r="F24" i="4"/>
  <c r="F21" i="4" s="1"/>
  <c r="F19" i="4" s="1"/>
  <c r="F18" i="4" s="1"/>
  <c r="E24" i="4"/>
  <c r="D24" i="4"/>
  <c r="J22" i="4"/>
  <c r="I22" i="4"/>
  <c r="I21" i="4" s="1"/>
  <c r="H22" i="4"/>
  <c r="G22" i="4"/>
  <c r="G21" i="4" s="1"/>
  <c r="F22" i="4"/>
  <c r="E22" i="4"/>
  <c r="H21" i="4"/>
  <c r="H19" i="4" s="1"/>
  <c r="H18" i="4" s="1"/>
  <c r="G20" i="4"/>
  <c r="D65" i="4" l="1"/>
  <c r="D22" i="4"/>
  <c r="E21" i="4"/>
  <c r="I19" i="4"/>
  <c r="I18" i="4" s="1"/>
  <c r="D54" i="4"/>
  <c r="D45" i="4" s="1"/>
  <c r="E53" i="4"/>
  <c r="D53" i="4" s="1"/>
  <c r="D31" i="4"/>
  <c r="E30" i="4"/>
  <c r="G28" i="4"/>
  <c r="G27" i="4" s="1"/>
  <c r="I28" i="4"/>
  <c r="I27" i="4" s="1"/>
  <c r="E45" i="4"/>
  <c r="D55" i="4"/>
  <c r="D46" i="4" s="1"/>
  <c r="D29" i="4" s="1"/>
  <c r="D20" i="4" s="1"/>
  <c r="E46" i="4"/>
  <c r="E29" i="4" s="1"/>
  <c r="E20" i="4" s="1"/>
  <c r="E57" i="4"/>
  <c r="D57" i="4" s="1"/>
  <c r="E65" i="4"/>
  <c r="E72" i="4"/>
  <c r="D72" i="4" s="1"/>
  <c r="E76" i="4"/>
  <c r="D76" i="4" s="1"/>
  <c r="E89" i="4"/>
  <c r="D89" i="4" s="1"/>
  <c r="D62" i="4" l="1"/>
  <c r="E44" i="4"/>
  <c r="D44" i="4" s="1"/>
  <c r="D21" i="4"/>
  <c r="E62" i="4"/>
  <c r="E28" i="4"/>
  <c r="E27" i="4" s="1"/>
  <c r="D30" i="4"/>
  <c r="D28" i="4" s="1"/>
  <c r="D27" i="4" s="1"/>
  <c r="G19" i="4"/>
  <c r="G18" i="4" s="1"/>
  <c r="E19" i="4" l="1"/>
  <c r="E18" i="4" s="1"/>
  <c r="D19" i="4"/>
  <c r="D18" i="4" s="1"/>
  <c r="H6" i="6" l="1"/>
  <c r="H5" i="6"/>
  <c r="D50" i="5" l="1"/>
  <c r="B50" i="5"/>
  <c r="C49" i="5"/>
  <c r="C50" i="5" s="1"/>
  <c r="D49" i="5"/>
  <c r="B49" i="5"/>
  <c r="C40" i="5"/>
  <c r="C44" i="5" s="1"/>
  <c r="D40" i="5"/>
  <c r="D44" i="5" s="1"/>
  <c r="B40" i="5"/>
  <c r="B44" i="5" s="1"/>
  <c r="E17" i="5" l="1"/>
  <c r="E9" i="5"/>
  <c r="D26" i="5"/>
  <c r="D25" i="5"/>
  <c r="D23" i="5" s="1"/>
  <c r="D24" i="5"/>
  <c r="G23" i="5"/>
  <c r="F23" i="5"/>
  <c r="E23" i="5"/>
  <c r="D22" i="5"/>
  <c r="D21" i="5"/>
  <c r="D20" i="5"/>
  <c r="D19" i="5" s="1"/>
  <c r="G19" i="5"/>
  <c r="F19" i="5"/>
  <c r="E19" i="5"/>
  <c r="D18" i="5"/>
  <c r="D17" i="5"/>
  <c r="D16" i="5"/>
  <c r="D4" i="5" s="1"/>
  <c r="G15" i="5"/>
  <c r="F15" i="5"/>
  <c r="E15" i="5"/>
  <c r="D14" i="5"/>
  <c r="D11" i="5" s="1"/>
  <c r="D13" i="5"/>
  <c r="D12" i="5"/>
  <c r="G11" i="5"/>
  <c r="F11" i="5"/>
  <c r="E11" i="5"/>
  <c r="D10" i="5"/>
  <c r="D6" i="5" s="1"/>
  <c r="D9" i="5"/>
  <c r="D7" i="5" s="1"/>
  <c r="D8" i="5"/>
  <c r="G7" i="5"/>
  <c r="F7" i="5"/>
  <c r="E7" i="5"/>
  <c r="G6" i="5"/>
  <c r="F6" i="5"/>
  <c r="E6" i="5"/>
  <c r="G5" i="5"/>
  <c r="F5" i="5"/>
  <c r="E5" i="5"/>
  <c r="G4" i="5"/>
  <c r="F4" i="5"/>
  <c r="E4" i="5"/>
  <c r="E3" i="5" s="1"/>
  <c r="G3" i="5"/>
  <c r="F3" i="5"/>
  <c r="D3" i="5" l="1"/>
  <c r="D15" i="5"/>
  <c r="D5" i="5"/>
</calcChain>
</file>

<file path=xl/sharedStrings.xml><?xml version="1.0" encoding="utf-8"?>
<sst xmlns="http://schemas.openxmlformats.org/spreadsheetml/2006/main" count="368" uniqueCount="126">
  <si>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</si>
  <si>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</si>
  <si>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</si>
  <si>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</si>
  <si>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</si>
  <si>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</si>
  <si>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</si>
  <si>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</si>
  <si>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</si>
  <si>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</si>
  <si>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</si>
  <si>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</si>
  <si>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</si>
  <si>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</si>
  <si>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</si>
  <si>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</si>
  <si>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</si>
  <si>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</si>
  <si>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</si>
  <si>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</si>
  <si>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</si>
  <si>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</si>
  <si>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</si>
  <si>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</si>
  <si>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</si>
  <si>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</si>
  <si>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</si>
  <si>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</si>
  <si>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</si>
  <si>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</si>
  <si>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</si>
  <si>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</si>
  <si>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</si>
  <si>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</si>
  <si>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</si>
  <si>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</si>
  <si>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</si>
  <si>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</si>
  <si>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</si>
  <si>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</si>
  <si>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</si>
  <si>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</si>
  <si>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</si>
  <si>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</si>
  <si>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</si>
  <si>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</si>
  <si>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</si>
  <si>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</si>
  <si>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</si>
  <si>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</si>
  <si>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</si>
  <si>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</si>
  <si>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</si>
  <si>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</si>
  <si>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</si>
  <si>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</si>
  <si>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</si>
  <si>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</si>
  <si>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</si>
  <si>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</si>
  <si>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</si>
  <si>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</si>
  <si>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</si>
  <si>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</si>
  <si>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</si>
  <si>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</si>
  <si>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</si>
  <si>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</si>
  <si>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</si>
  <si>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</si>
  <si>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</si>
  <si>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</si>
  <si>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</si>
  <si>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</si>
  <si>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</si>
  <si>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</si>
  <si>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</si>
  <si>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</si>
  <si>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</si>
  <si>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</si>
  <si>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</si>
  <si>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</si>
  <si>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</si>
  <si>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</si>
  <si>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</si>
  <si>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города Усолье-Сибирское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</si>
  <si>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города Усолье-Сибирское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</si>
  <si>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2019-2020 гг.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</si>
  <si>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</si>
  <si>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</si>
  <si>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</si>
  <si>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</si>
  <si>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</si>
  <si>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</si>
  <si>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</si>
  <si>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</si>
  <si>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разграничена, земельные участки под объектами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</si>
  <si>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</si>
  <si>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</si>
  <si>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</si>
  <si>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</si>
  <si>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</si>
  <si>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«Водоснабжение ул. Российской и Ленинградской, Иркутской области г. Усолье-Сибирское»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</si>
  <si>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</si>
  <si>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</si>
  <si>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</si>
  <si>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</si>
  <si>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</si>
  <si>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</si>
  <si>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</si>
  <si>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</si>
  <si>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</si>
  <si>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</si>
  <si>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</si>
  <si>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</si>
  <si>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от ____________________№ ______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</si>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</sst>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0" xfId="0" applyFill="1"/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14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6" xfId="0" applyNumberFormat="1" applyFont="1" applyFill="1" applyBorder="1" applyAlignment="1">
      <alignment horizontal="right" vertical="center"/>
    </xf>
    <xf numFmtId="0" fontId="17" fillId="0" borderId="0" xfId="0" applyFont="1"/>
    <xf numFmtId="0" fontId="15" fillId="0" borderId="17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4" fontId="15" fillId="0" borderId="25" xfId="0" applyNumberFormat="1" applyFont="1" applyFill="1" applyBorder="1" applyAlignment="1">
      <alignment horizontal="right" vertical="center"/>
    </xf>
    <xf numFmtId="4" fontId="15" fillId="0" borderId="26" xfId="0" applyNumberFormat="1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right" vertical="center"/>
    </xf>
    <xf numFmtId="4" fontId="15" fillId="0" borderId="8" xfId="0" applyNumberFormat="1" applyFont="1" applyFill="1" applyBorder="1" applyAlignment="1">
      <alignment horizontal="right" vertical="center"/>
    </xf>
    <xf numFmtId="4" fontId="15" fillId="0" borderId="9" xfId="0" applyNumberFormat="1" applyFont="1" applyFill="1" applyBorder="1" applyAlignment="1">
      <alignment horizontal="right" vertical="center"/>
    </xf>
    <xf numFmtId="0" fontId="18" fillId="0" borderId="10" xfId="0" applyFont="1" applyBorder="1" applyAlignment="1">
      <alignment horizontal="center" vertical="center" wrapText="1"/>
    </xf>
    <xf numFmtId="4" fontId="17" fillId="0" borderId="0" xfId="0" applyNumberFormat="1" applyFont="1"/>
    <xf numFmtId="0" fontId="18" fillId="0" borderId="30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8" fillId="0" borderId="25" xfId="0" applyNumberFormat="1" applyFont="1" applyBorder="1" applyAlignment="1">
      <alignment horizontal="center" vertical="center" wrapText="1"/>
    </xf>
    <xf numFmtId="4" fontId="18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/>
    <xf numFmtId="4" fontId="18" fillId="0" borderId="6" xfId="0" applyNumberFormat="1" applyFont="1" applyBorder="1" applyAlignment="1">
      <alignment horizontal="center" vertical="center" wrapText="1"/>
    </xf>
    <xf numFmtId="0" fontId="18" fillId="0" borderId="7" xfId="0" applyFont="1" applyBorder="1"/>
    <xf numFmtId="4" fontId="20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0" xfId="0" applyFont="1" applyBorder="1"/>
    <xf numFmtId="0" fontId="17" fillId="0" borderId="29" xfId="0" applyFont="1" applyBorder="1"/>
    <xf numFmtId="0" fontId="18" fillId="0" borderId="31" xfId="0" applyFont="1" applyBorder="1"/>
    <xf numFmtId="4" fontId="18" fillId="0" borderId="2" xfId="0" applyNumberFormat="1" applyFont="1" applyBorder="1" applyAlignment="1">
      <alignment horizontal="center" vertical="center" wrapText="1"/>
    </xf>
    <xf numFmtId="4" fontId="18" fillId="0" borderId="28" xfId="0" applyNumberFormat="1" applyFont="1" applyBorder="1" applyAlignment="1">
      <alignment horizontal="center" vertical="center" wrapText="1"/>
    </xf>
    <xf numFmtId="0" fontId="18" fillId="0" borderId="35" xfId="0" applyFont="1" applyBorder="1"/>
    <xf numFmtId="4" fontId="18" fillId="0" borderId="36" xfId="0" applyNumberFormat="1" applyFont="1" applyBorder="1" applyAlignment="1">
      <alignment horizontal="center" vertical="center" wrapText="1"/>
    </xf>
    <xf numFmtId="0" fontId="18" fillId="0" borderId="4" xfId="0" applyFont="1" applyBorder="1"/>
    <xf numFmtId="4" fontId="18" fillId="0" borderId="6" xfId="0" applyNumberFormat="1" applyFont="1" applyBorder="1" applyAlignment="1">
      <alignment horizontal="right" vertical="center" wrapText="1"/>
    </xf>
    <xf numFmtId="4" fontId="18" fillId="0" borderId="25" xfId="0" applyNumberFormat="1" applyFont="1" applyBorder="1" applyAlignment="1">
      <alignment horizontal="right" vertical="center" wrapText="1"/>
    </xf>
    <xf numFmtId="4" fontId="18" fillId="0" borderId="26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0" fontId="20" fillId="3" borderId="32" xfId="0" applyFont="1" applyFill="1" applyBorder="1"/>
    <xf numFmtId="4" fontId="20" fillId="3" borderId="33" xfId="0" applyNumberFormat="1" applyFont="1" applyFill="1" applyBorder="1" applyAlignment="1">
      <alignment horizontal="right" vertical="center" wrapText="1"/>
    </xf>
    <xf numFmtId="4" fontId="20" fillId="3" borderId="34" xfId="0" applyNumberFormat="1" applyFont="1" applyFill="1" applyBorder="1" applyAlignment="1">
      <alignment horizontal="right" vertical="center" wrapText="1"/>
    </xf>
    <xf numFmtId="4" fontId="20" fillId="3" borderId="33" xfId="0" applyNumberFormat="1" applyFont="1" applyFill="1" applyBorder="1" applyAlignment="1">
      <alignment horizontal="center" vertical="center" wrapText="1"/>
    </xf>
    <xf numFmtId="4" fontId="20" fillId="3" borderId="3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1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4" fontId="32" fillId="0" borderId="5" xfId="0" applyNumberFormat="1" applyFont="1" applyFill="1" applyBorder="1" applyAlignment="1">
      <alignment horizontal="right" vertical="center" wrapText="1"/>
    </xf>
    <xf numFmtId="4" fontId="32" fillId="0" borderId="5" xfId="0" applyNumberFormat="1" applyFont="1" applyFill="1" applyBorder="1" applyAlignment="1">
      <alignment vertical="center" wrapText="1"/>
    </xf>
    <xf numFmtId="4" fontId="32" fillId="0" borderId="5" xfId="0" applyNumberFormat="1" applyFont="1" applyFill="1" applyBorder="1" applyAlignment="1">
      <alignment horizontal="right" vertical="center"/>
    </xf>
    <xf numFmtId="4" fontId="22" fillId="0" borderId="5" xfId="0" applyNumberFormat="1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164" fontId="34" fillId="0" borderId="39" xfId="0" applyNumberFormat="1" applyFont="1" applyBorder="1" applyAlignment="1">
      <alignment horizontal="center" vertical="center" wrapText="1"/>
    </xf>
    <xf numFmtId="164" fontId="34" fillId="0" borderId="8" xfId="0" applyNumberFormat="1" applyFont="1" applyBorder="1" applyAlignment="1">
      <alignment horizontal="center" vertical="center" wrapText="1"/>
    </xf>
    <xf numFmtId="164" fontId="34" fillId="0" borderId="40" xfId="0" applyNumberFormat="1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164" fontId="34" fillId="0" borderId="43" xfId="0" applyNumberFormat="1" applyFont="1" applyBorder="1" applyAlignment="1">
      <alignment horizontal="center" vertical="center" wrapText="1"/>
    </xf>
    <xf numFmtId="164" fontId="34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3" fillId="0" borderId="38" xfId="0" applyFont="1" applyBorder="1" applyAlignment="1">
      <alignment horizontal="center" wrapText="1"/>
    </xf>
    <xf numFmtId="164" fontId="33" fillId="0" borderId="12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0" fontId="35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7" fillId="0" borderId="1" xfId="0" applyNumberFormat="1" applyFont="1" applyFill="1" applyBorder="1" applyAlignment="1">
      <alignment horizontal="right" vertical="center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0" fontId="30" fillId="0" borderId="0" xfId="0" applyFont="1" applyFill="1"/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2" fillId="4" borderId="0" xfId="0" applyFont="1" applyFill="1"/>
    <xf numFmtId="0" fontId="0" fillId="4" borderId="0" xfId="0" applyFill="1"/>
    <xf numFmtId="0" fontId="7" fillId="0" borderId="1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4" fontId="32" fillId="0" borderId="45" xfId="0" applyNumberFormat="1" applyFont="1" applyFill="1" applyBorder="1" applyAlignment="1">
      <alignment horizontal="right" vertical="center"/>
    </xf>
    <xf numFmtId="4" fontId="32" fillId="0" borderId="46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4" fontId="32" fillId="0" borderId="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4" fontId="32" fillId="0" borderId="6" xfId="0" applyNumberFormat="1" applyFont="1" applyFill="1" applyBorder="1" applyAlignment="1">
      <alignment horizontal="right" vertical="center"/>
    </xf>
    <xf numFmtId="4" fontId="27" fillId="0" borderId="6" xfId="0" applyNumberFormat="1" applyFont="1" applyFill="1" applyBorder="1" applyAlignment="1">
      <alignment horizontal="right" vertical="center"/>
    </xf>
    <xf numFmtId="4" fontId="32" fillId="0" borderId="6" xfId="0" applyNumberFormat="1" applyFont="1" applyFill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32" fillId="0" borderId="6" xfId="0" applyNumberFormat="1" applyFont="1" applyFill="1" applyBorder="1" applyAlignment="1">
      <alignment vertical="center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right" vertical="center"/>
    </xf>
    <xf numFmtId="4" fontId="22" fillId="0" borderId="6" xfId="0" applyNumberFormat="1" applyFont="1" applyFill="1" applyBorder="1" applyAlignment="1">
      <alignment vertical="center" wrapText="1"/>
    </xf>
    <xf numFmtId="4" fontId="32" fillId="0" borderId="47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right" vertical="center"/>
    </xf>
    <xf numFmtId="4" fontId="27" fillId="0" borderId="3" xfId="0" applyNumberFormat="1" applyFont="1" applyFill="1" applyBorder="1" applyAlignment="1">
      <alignment horizontal="right" vertical="center"/>
    </xf>
    <xf numFmtId="4" fontId="27" fillId="0" borderId="48" xfId="0" applyNumberFormat="1" applyFont="1" applyFill="1" applyBorder="1" applyAlignment="1">
      <alignment horizontal="right" vertical="center"/>
    </xf>
    <xf numFmtId="4" fontId="27" fillId="0" borderId="49" xfId="0" applyNumberFormat="1" applyFont="1" applyFill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4" fontId="27" fillId="0" borderId="5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6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topLeftCell="A58" zoomScale="50" zoomScaleNormal="60" zoomScaleSheetLayoutView="50" workbookViewId="0">
      <selection activeCell="E62" sqref="E62"/>
    </sheetView>
  </sheetViews>
  <sheetFormatPr defaultRowHeight="15" outlineLevelRow="1" x14ac:dyDescent="0.25"/>
  <cols>
    <col min="1" max="1" width="49.5703125" style="13" customWidth="1"/>
    <col min="2" max="2" width="31" customWidth="1"/>
    <col min="3" max="3" width="26.140625" customWidth="1"/>
    <col min="4" max="4" width="25.42578125" style="100" customWidth="1"/>
    <col min="5" max="7" width="25.140625" style="100" customWidth="1"/>
    <col min="8" max="10" width="25.140625" style="13" customWidth="1"/>
    <col min="11" max="11" width="4.28515625" customWidth="1"/>
  </cols>
  <sheetData>
    <row r="1" spans="1:10" ht="18.75" customHeight="1" outlineLevel="1" x14ac:dyDescent="0.25">
      <c r="H1" s="100"/>
      <c r="I1" s="100"/>
      <c r="J1" s="101" t="s">
        <v>69</v>
      </c>
    </row>
    <row r="2" spans="1:10" ht="18.75" customHeight="1" outlineLevel="1" x14ac:dyDescent="0.25">
      <c r="H2" s="100"/>
      <c r="I2" s="100"/>
      <c r="J2" s="101" t="s">
        <v>64</v>
      </c>
    </row>
    <row r="3" spans="1:10" ht="18.75" customHeight="1" outlineLevel="1" x14ac:dyDescent="0.25">
      <c r="H3" s="100"/>
      <c r="I3" s="100"/>
      <c r="J3" s="101" t="s">
        <v>65</v>
      </c>
    </row>
    <row r="4" spans="1:10" ht="35.25" customHeight="1" outlineLevel="1" x14ac:dyDescent="0.3">
      <c r="H4" s="100"/>
      <c r="I4" s="181" t="s">
        <v>115</v>
      </c>
      <c r="J4" s="181"/>
    </row>
    <row r="5" spans="1:10" ht="18.75" customHeight="1" outlineLevel="1" x14ac:dyDescent="0.25">
      <c r="H5" s="100"/>
      <c r="I5" s="100"/>
      <c r="J5" s="101"/>
    </row>
    <row r="6" spans="1:10" ht="18.75" outlineLevel="1" x14ac:dyDescent="0.25">
      <c r="G6" s="101"/>
      <c r="H6" s="100"/>
      <c r="I6" s="101"/>
      <c r="J6" s="101" t="s">
        <v>118</v>
      </c>
    </row>
    <row r="7" spans="1:10" ht="18.75" outlineLevel="1" x14ac:dyDescent="0.25">
      <c r="G7" s="101"/>
      <c r="H7" s="100"/>
      <c r="I7" s="101"/>
      <c r="J7" s="101" t="s">
        <v>37</v>
      </c>
    </row>
    <row r="8" spans="1:10" ht="18.75" outlineLevel="1" x14ac:dyDescent="0.3">
      <c r="G8" s="102"/>
      <c r="H8" s="100"/>
      <c r="I8" s="102"/>
      <c r="J8" s="102" t="s">
        <v>38</v>
      </c>
    </row>
    <row r="9" spans="1:10" ht="18.75" outlineLevel="1" x14ac:dyDescent="0.25">
      <c r="G9" s="101"/>
      <c r="H9" s="100"/>
      <c r="I9" s="101"/>
      <c r="J9" s="101" t="s">
        <v>71</v>
      </c>
    </row>
    <row r="10" spans="1:10" ht="7.5" customHeight="1" outlineLevel="1" x14ac:dyDescent="0.25">
      <c r="G10" s="101"/>
    </row>
    <row r="11" spans="1:10" ht="18.75" outlineLevel="1" x14ac:dyDescent="0.25">
      <c r="G11" s="101"/>
    </row>
    <row r="12" spans="1:10" ht="30" customHeight="1" x14ac:dyDescent="0.25">
      <c r="A12" s="169" t="s">
        <v>121</v>
      </c>
      <c r="B12" s="169"/>
      <c r="C12" s="169"/>
      <c r="D12" s="169"/>
      <c r="E12" s="169"/>
      <c r="F12" s="169"/>
      <c r="G12" s="169"/>
      <c r="H12" s="169"/>
      <c r="I12" s="169"/>
      <c r="J12" s="169"/>
    </row>
    <row r="13" spans="1:10" ht="30" customHeight="1" x14ac:dyDescent="0.25">
      <c r="A13" s="169" t="s">
        <v>120</v>
      </c>
      <c r="B13" s="169"/>
      <c r="C13" s="169"/>
      <c r="D13" s="169"/>
      <c r="E13" s="169"/>
      <c r="F13" s="169"/>
      <c r="G13" s="169"/>
      <c r="H13" s="169"/>
      <c r="I13" s="169"/>
      <c r="J13" s="169"/>
    </row>
    <row r="14" spans="1:10" ht="19.5" thickBot="1" x14ac:dyDescent="0.3">
      <c r="G14" s="101"/>
    </row>
    <row r="15" spans="1:10" ht="48.75" customHeight="1" x14ac:dyDescent="0.25">
      <c r="A15" s="170" t="s">
        <v>123</v>
      </c>
      <c r="B15" s="184" t="s">
        <v>122</v>
      </c>
      <c r="C15" s="184" t="s">
        <v>0</v>
      </c>
      <c r="D15" s="192" t="s">
        <v>1</v>
      </c>
      <c r="E15" s="195" t="s">
        <v>110</v>
      </c>
      <c r="F15" s="195"/>
      <c r="G15" s="195"/>
      <c r="H15" s="195"/>
      <c r="I15" s="195"/>
      <c r="J15" s="196"/>
    </row>
    <row r="16" spans="1:10" ht="48.75" customHeight="1" x14ac:dyDescent="0.25">
      <c r="A16" s="171"/>
      <c r="B16" s="185"/>
      <c r="C16" s="185"/>
      <c r="D16" s="193"/>
      <c r="E16" s="179" t="s">
        <v>67</v>
      </c>
      <c r="F16" s="179" t="s">
        <v>66</v>
      </c>
      <c r="G16" s="179" t="s">
        <v>72</v>
      </c>
      <c r="H16" s="179" t="s">
        <v>73</v>
      </c>
      <c r="I16" s="179" t="s">
        <v>74</v>
      </c>
      <c r="J16" s="177" t="s">
        <v>75</v>
      </c>
    </row>
    <row r="17" spans="1:11" ht="48.75" customHeight="1" thickBot="1" x14ac:dyDescent="0.3">
      <c r="A17" s="171"/>
      <c r="B17" s="185"/>
      <c r="C17" s="185"/>
      <c r="D17" s="194"/>
      <c r="E17" s="180"/>
      <c r="F17" s="180"/>
      <c r="G17" s="180"/>
      <c r="H17" s="180"/>
      <c r="I17" s="180"/>
      <c r="J17" s="178"/>
    </row>
    <row r="18" spans="1:11" ht="44.25" customHeight="1" x14ac:dyDescent="0.3">
      <c r="A18" s="170" t="s">
        <v>76</v>
      </c>
      <c r="B18" s="173" t="s">
        <v>104</v>
      </c>
      <c r="C18" s="153" t="s">
        <v>68</v>
      </c>
      <c r="D18" s="152">
        <f>D19+D20</f>
        <v>893725844.90999997</v>
      </c>
      <c r="E18" s="150">
        <f t="shared" ref="E18:J18" si="0">E19+E20</f>
        <v>176201333.75999996</v>
      </c>
      <c r="F18" s="150">
        <f t="shared" si="0"/>
        <v>143065189.88</v>
      </c>
      <c r="G18" s="150">
        <f t="shared" si="0"/>
        <v>142244475.63999999</v>
      </c>
      <c r="H18" s="150">
        <f t="shared" si="0"/>
        <v>144071615.20999998</v>
      </c>
      <c r="I18" s="150">
        <f t="shared" si="0"/>
        <v>144071615.20999998</v>
      </c>
      <c r="J18" s="151">
        <f t="shared" si="0"/>
        <v>144071615.20999998</v>
      </c>
    </row>
    <row r="19" spans="1:11" ht="56.25" customHeight="1" x14ac:dyDescent="0.25">
      <c r="A19" s="171"/>
      <c r="B19" s="174"/>
      <c r="C19" s="148" t="s">
        <v>7</v>
      </c>
      <c r="D19" s="149">
        <f t="shared" ref="D19:J19" si="1">D21+D28+D62</f>
        <v>890153739.01999998</v>
      </c>
      <c r="E19" s="150">
        <f>E21+E28+E62</f>
        <v>172629227.86999997</v>
      </c>
      <c r="F19" s="150">
        <f>F21+F28+F62</f>
        <v>143065189.88</v>
      </c>
      <c r="G19" s="150">
        <f t="shared" si="1"/>
        <v>142244475.63999999</v>
      </c>
      <c r="H19" s="150">
        <f t="shared" si="1"/>
        <v>144071615.20999998</v>
      </c>
      <c r="I19" s="150">
        <f t="shared" si="1"/>
        <v>144071615.20999998</v>
      </c>
      <c r="J19" s="151">
        <f t="shared" si="1"/>
        <v>144071615.20999998</v>
      </c>
    </row>
    <row r="20" spans="1:11" ht="56.25" customHeight="1" x14ac:dyDescent="0.25">
      <c r="A20" s="172"/>
      <c r="B20" s="175"/>
      <c r="C20" s="148" t="s">
        <v>109</v>
      </c>
      <c r="D20" s="149">
        <f>D29</f>
        <v>3572105.89</v>
      </c>
      <c r="E20" s="150">
        <f t="shared" ref="E20:J20" si="2">E29</f>
        <v>3572105.89</v>
      </c>
      <c r="F20" s="150">
        <f t="shared" si="2"/>
        <v>0</v>
      </c>
      <c r="G20" s="150">
        <f t="shared" si="2"/>
        <v>0</v>
      </c>
      <c r="H20" s="150">
        <f t="shared" si="2"/>
        <v>0</v>
      </c>
      <c r="I20" s="150">
        <f t="shared" si="2"/>
        <v>0</v>
      </c>
      <c r="J20" s="151">
        <f t="shared" si="2"/>
        <v>0</v>
      </c>
    </row>
    <row r="21" spans="1:11" s="1" customFormat="1" ht="81" customHeight="1" x14ac:dyDescent="0.25">
      <c r="A21" s="135" t="s">
        <v>77</v>
      </c>
      <c r="B21" s="73" t="s">
        <v>61</v>
      </c>
      <c r="C21" s="73" t="s">
        <v>7</v>
      </c>
      <c r="D21" s="79">
        <f>E21+F21+G21+H21+I21+J21</f>
        <v>84848651.310000002</v>
      </c>
      <c r="E21" s="103">
        <f t="shared" ref="E21:J21" si="3">E22+E24</f>
        <v>11015265.459999997</v>
      </c>
      <c r="F21" s="103">
        <f t="shared" si="3"/>
        <v>14766677.169999998</v>
      </c>
      <c r="G21" s="103">
        <f t="shared" si="3"/>
        <v>14766677.169999998</v>
      </c>
      <c r="H21" s="103">
        <f t="shared" si="3"/>
        <v>14766677.169999998</v>
      </c>
      <c r="I21" s="103">
        <f t="shared" si="3"/>
        <v>14766677.169999998</v>
      </c>
      <c r="J21" s="137">
        <f t="shared" si="3"/>
        <v>14766677.169999998</v>
      </c>
    </row>
    <row r="22" spans="1:11" ht="99" customHeight="1" x14ac:dyDescent="0.25">
      <c r="A22" s="5" t="s">
        <v>10</v>
      </c>
      <c r="B22" s="4" t="s">
        <v>61</v>
      </c>
      <c r="C22" s="4" t="s">
        <v>7</v>
      </c>
      <c r="D22" s="80">
        <f>E22+F22+G22+H22+I22+J22</f>
        <v>61061918.109999992</v>
      </c>
      <c r="E22" s="104">
        <f>9450189.52+660365.45+398588.29</f>
        <v>10509143.259999998</v>
      </c>
      <c r="F22" s="104">
        <f t="shared" ref="F22:J22" si="4">9450189.52+660365.45</f>
        <v>10110554.969999999</v>
      </c>
      <c r="G22" s="104">
        <f t="shared" si="4"/>
        <v>10110554.969999999</v>
      </c>
      <c r="H22" s="104">
        <f t="shared" si="4"/>
        <v>10110554.969999999</v>
      </c>
      <c r="I22" s="104">
        <f t="shared" si="4"/>
        <v>10110554.969999999</v>
      </c>
      <c r="J22" s="138">
        <f t="shared" si="4"/>
        <v>10110554.969999999</v>
      </c>
    </row>
    <row r="23" spans="1:11" ht="63.75" customHeight="1" x14ac:dyDescent="0.25">
      <c r="A23" s="5" t="s">
        <v>11</v>
      </c>
      <c r="B23" s="4" t="s">
        <v>61</v>
      </c>
      <c r="C23" s="4" t="s">
        <v>7</v>
      </c>
      <c r="D23" s="126" t="s">
        <v>8</v>
      </c>
      <c r="E23" s="105" t="s">
        <v>8</v>
      </c>
      <c r="F23" s="105" t="s">
        <v>8</v>
      </c>
      <c r="G23" s="105" t="s">
        <v>8</v>
      </c>
      <c r="H23" s="105" t="s">
        <v>8</v>
      </c>
      <c r="I23" s="105" t="s">
        <v>8</v>
      </c>
      <c r="J23" s="139" t="s">
        <v>8</v>
      </c>
    </row>
    <row r="24" spans="1:11" ht="78.75" customHeight="1" x14ac:dyDescent="0.25">
      <c r="A24" s="5" t="s">
        <v>25</v>
      </c>
      <c r="B24" s="4" t="s">
        <v>61</v>
      </c>
      <c r="C24" s="4" t="s">
        <v>7</v>
      </c>
      <c r="D24" s="80">
        <f>E24+F24+G24+H24+I24+J24</f>
        <v>23786733.199999999</v>
      </c>
      <c r="E24" s="104">
        <f>5316487.65-660365.45-4000000-150000</f>
        <v>506122.20000000019</v>
      </c>
      <c r="F24" s="104">
        <f t="shared" ref="F24:J24" si="5">5316487.65-660365.45</f>
        <v>4656122.2</v>
      </c>
      <c r="G24" s="104">
        <f t="shared" si="5"/>
        <v>4656122.2</v>
      </c>
      <c r="H24" s="104">
        <f t="shared" si="5"/>
        <v>4656122.2</v>
      </c>
      <c r="I24" s="104">
        <f t="shared" si="5"/>
        <v>4656122.2</v>
      </c>
      <c r="J24" s="138">
        <f t="shared" si="5"/>
        <v>4656122.2</v>
      </c>
    </row>
    <row r="25" spans="1:11" ht="236.25" customHeight="1" x14ac:dyDescent="0.25">
      <c r="A25" s="5" t="s">
        <v>40</v>
      </c>
      <c r="B25" s="4" t="s">
        <v>105</v>
      </c>
      <c r="C25" s="4" t="s">
        <v>7</v>
      </c>
      <c r="D25" s="126" t="s">
        <v>8</v>
      </c>
      <c r="E25" s="105" t="s">
        <v>8</v>
      </c>
      <c r="F25" s="105" t="s">
        <v>8</v>
      </c>
      <c r="G25" s="105" t="s">
        <v>8</v>
      </c>
      <c r="H25" s="105" t="s">
        <v>8</v>
      </c>
      <c r="I25" s="105" t="s">
        <v>8</v>
      </c>
      <c r="J25" s="139" t="s">
        <v>8</v>
      </c>
    </row>
    <row r="26" spans="1:11" ht="84" customHeight="1" x14ac:dyDescent="0.25">
      <c r="A26" s="135" t="s">
        <v>78</v>
      </c>
      <c r="B26" s="73" t="s">
        <v>61</v>
      </c>
      <c r="C26" s="73" t="s">
        <v>7</v>
      </c>
      <c r="D26" s="126" t="s">
        <v>8</v>
      </c>
      <c r="E26" s="105" t="s">
        <v>8</v>
      </c>
      <c r="F26" s="105" t="s">
        <v>8</v>
      </c>
      <c r="G26" s="105" t="s">
        <v>8</v>
      </c>
      <c r="H26" s="105" t="s">
        <v>8</v>
      </c>
      <c r="I26" s="105" t="s">
        <v>8</v>
      </c>
      <c r="J26" s="139" t="s">
        <v>8</v>
      </c>
    </row>
    <row r="27" spans="1:11" ht="84" customHeight="1" x14ac:dyDescent="0.25">
      <c r="A27" s="176" t="s">
        <v>79</v>
      </c>
      <c r="B27" s="176" t="s">
        <v>6</v>
      </c>
      <c r="C27" s="148" t="s">
        <v>68</v>
      </c>
      <c r="D27" s="155">
        <f>D28+D29</f>
        <v>120016847.55000001</v>
      </c>
      <c r="E27" s="156">
        <f t="shared" ref="E27:J27" si="6">E28+E29</f>
        <v>25054173.400000002</v>
      </c>
      <c r="F27" s="156">
        <f t="shared" si="6"/>
        <v>18992534.829999998</v>
      </c>
      <c r="G27" s="156">
        <f t="shared" si="6"/>
        <v>18992534.829999998</v>
      </c>
      <c r="H27" s="156">
        <f t="shared" si="6"/>
        <v>18992534.829999998</v>
      </c>
      <c r="I27" s="156">
        <f t="shared" si="6"/>
        <v>18992534.829999998</v>
      </c>
      <c r="J27" s="157">
        <f t="shared" si="6"/>
        <v>18992534.829999998</v>
      </c>
    </row>
    <row r="28" spans="1:11" s="116" customFormat="1" ht="47.25" customHeight="1" x14ac:dyDescent="0.25">
      <c r="A28" s="171"/>
      <c r="B28" s="171"/>
      <c r="C28" s="148" t="s">
        <v>7</v>
      </c>
      <c r="D28" s="155">
        <f>D30+D41+D45+D57</f>
        <v>116444741.66000001</v>
      </c>
      <c r="E28" s="156">
        <f t="shared" ref="E28:J28" si="7">E30+E41+E45+E57</f>
        <v>21482067.510000002</v>
      </c>
      <c r="F28" s="156">
        <f t="shared" si="7"/>
        <v>18992534.829999998</v>
      </c>
      <c r="G28" s="156">
        <f t="shared" si="7"/>
        <v>18992534.829999998</v>
      </c>
      <c r="H28" s="156">
        <f t="shared" si="7"/>
        <v>18992534.829999998</v>
      </c>
      <c r="I28" s="156">
        <f t="shared" si="7"/>
        <v>18992534.829999998</v>
      </c>
      <c r="J28" s="157">
        <f t="shared" si="7"/>
        <v>18992534.829999998</v>
      </c>
      <c r="K28" s="162"/>
    </row>
    <row r="29" spans="1:11" s="116" customFormat="1" ht="47.25" customHeight="1" x14ac:dyDescent="0.25">
      <c r="A29" s="172"/>
      <c r="B29" s="172"/>
      <c r="C29" s="148" t="s">
        <v>109</v>
      </c>
      <c r="D29" s="155">
        <f>D46</f>
        <v>3572105.89</v>
      </c>
      <c r="E29" s="156">
        <f t="shared" ref="E29:J29" si="8">E46</f>
        <v>3572105.89</v>
      </c>
      <c r="F29" s="156">
        <f t="shared" si="8"/>
        <v>0</v>
      </c>
      <c r="G29" s="156">
        <f t="shared" si="8"/>
        <v>0</v>
      </c>
      <c r="H29" s="156">
        <f t="shared" si="8"/>
        <v>0</v>
      </c>
      <c r="I29" s="156">
        <f t="shared" si="8"/>
        <v>0</v>
      </c>
      <c r="J29" s="157">
        <f t="shared" si="8"/>
        <v>0</v>
      </c>
      <c r="K29" s="162"/>
    </row>
    <row r="30" spans="1:11" s="117" customFormat="1" ht="99.75" customHeight="1" x14ac:dyDescent="0.25">
      <c r="A30" s="134" t="s">
        <v>12</v>
      </c>
      <c r="B30" s="125" t="s">
        <v>6</v>
      </c>
      <c r="C30" s="6" t="s">
        <v>7</v>
      </c>
      <c r="D30" s="80">
        <f>SUM(E30:J30)</f>
        <v>3866984.7299999995</v>
      </c>
      <c r="E30" s="104">
        <f>SUM(E31:E40)</f>
        <v>764670.73</v>
      </c>
      <c r="F30" s="104">
        <f t="shared" ref="F30:J30" si="9">SUM(F31:F40)</f>
        <v>620462.80000000005</v>
      </c>
      <c r="G30" s="104">
        <f t="shared" si="9"/>
        <v>620462.80000000005</v>
      </c>
      <c r="H30" s="104">
        <f t="shared" si="9"/>
        <v>620462.80000000005</v>
      </c>
      <c r="I30" s="104">
        <f t="shared" si="9"/>
        <v>620462.80000000005</v>
      </c>
      <c r="J30" s="138">
        <f t="shared" si="9"/>
        <v>620462.80000000005</v>
      </c>
      <c r="K30" s="13"/>
    </row>
    <row r="31" spans="1:11" s="117" customFormat="1" ht="148.5" customHeight="1" x14ac:dyDescent="0.25">
      <c r="A31" s="5" t="s">
        <v>26</v>
      </c>
      <c r="B31" s="6" t="s">
        <v>6</v>
      </c>
      <c r="C31" s="6" t="s">
        <v>7</v>
      </c>
      <c r="D31" s="80">
        <f t="shared" ref="D31:D35" si="10">SUM(E31:J31)</f>
        <v>1567407.93</v>
      </c>
      <c r="E31" s="128">
        <f>40*5930+144207.93</f>
        <v>381407.93</v>
      </c>
      <c r="F31" s="127">
        <f t="shared" ref="F31:J31" si="11">40*5930</f>
        <v>237200</v>
      </c>
      <c r="G31" s="127">
        <f t="shared" si="11"/>
        <v>237200</v>
      </c>
      <c r="H31" s="127">
        <f t="shared" si="11"/>
        <v>237200</v>
      </c>
      <c r="I31" s="127">
        <f t="shared" si="11"/>
        <v>237200</v>
      </c>
      <c r="J31" s="140">
        <f t="shared" si="11"/>
        <v>237200</v>
      </c>
      <c r="K31" s="13"/>
    </row>
    <row r="32" spans="1:11" s="117" customFormat="1" ht="100.5" customHeight="1" x14ac:dyDescent="0.25">
      <c r="A32" s="5" t="s">
        <v>92</v>
      </c>
      <c r="B32" s="6" t="s">
        <v>6</v>
      </c>
      <c r="C32" s="6" t="s">
        <v>7</v>
      </c>
      <c r="D32" s="80">
        <f t="shared" si="10"/>
        <v>1225080</v>
      </c>
      <c r="E32" s="128">
        <f>72*2770+150000-150000+28440</f>
        <v>227880</v>
      </c>
      <c r="F32" s="127">
        <f>72*2770</f>
        <v>199440</v>
      </c>
      <c r="G32" s="127">
        <f t="shared" ref="G32:J32" si="12">72*2770</f>
        <v>199440</v>
      </c>
      <c r="H32" s="127">
        <f t="shared" si="12"/>
        <v>199440</v>
      </c>
      <c r="I32" s="127">
        <f t="shared" si="12"/>
        <v>199440</v>
      </c>
      <c r="J32" s="140">
        <f t="shared" si="12"/>
        <v>199440</v>
      </c>
      <c r="K32" s="13"/>
    </row>
    <row r="33" spans="1:11" s="117" customFormat="1" ht="130.5" customHeight="1" x14ac:dyDescent="0.25">
      <c r="A33" s="5" t="s">
        <v>93</v>
      </c>
      <c r="B33" s="6" t="s">
        <v>6</v>
      </c>
      <c r="C33" s="6" t="s">
        <v>7</v>
      </c>
      <c r="D33" s="80">
        <f t="shared" si="10"/>
        <v>132000</v>
      </c>
      <c r="E33" s="128">
        <v>22000</v>
      </c>
      <c r="F33" s="128">
        <v>22000</v>
      </c>
      <c r="G33" s="128">
        <v>22000</v>
      </c>
      <c r="H33" s="129">
        <v>22000</v>
      </c>
      <c r="I33" s="128">
        <v>22000</v>
      </c>
      <c r="J33" s="141">
        <v>22000</v>
      </c>
      <c r="K33" s="13"/>
    </row>
    <row r="34" spans="1:11" s="117" customFormat="1" ht="81" customHeight="1" x14ac:dyDescent="0.25">
      <c r="A34" s="5" t="s">
        <v>114</v>
      </c>
      <c r="B34" s="6" t="s">
        <v>6</v>
      </c>
      <c r="C34" s="6" t="s">
        <v>7</v>
      </c>
      <c r="D34" s="80">
        <f t="shared" si="10"/>
        <v>595560</v>
      </c>
      <c r="E34" s="128">
        <f>4000*26-28440</f>
        <v>75560</v>
      </c>
      <c r="F34" s="127">
        <f t="shared" ref="F34:J34" si="13">4000*26</f>
        <v>104000</v>
      </c>
      <c r="G34" s="127">
        <f t="shared" si="13"/>
        <v>104000</v>
      </c>
      <c r="H34" s="127">
        <f t="shared" si="13"/>
        <v>104000</v>
      </c>
      <c r="I34" s="127">
        <f t="shared" si="13"/>
        <v>104000</v>
      </c>
      <c r="J34" s="140">
        <f t="shared" si="13"/>
        <v>104000</v>
      </c>
      <c r="K34" s="13"/>
    </row>
    <row r="35" spans="1:11" s="117" customFormat="1" ht="79.5" customHeight="1" x14ac:dyDescent="0.25">
      <c r="A35" s="5" t="s">
        <v>27</v>
      </c>
      <c r="B35" s="6" t="s">
        <v>6</v>
      </c>
      <c r="C35" s="6" t="s">
        <v>7</v>
      </c>
      <c r="D35" s="80">
        <f t="shared" si="10"/>
        <v>0</v>
      </c>
      <c r="E35" s="104">
        <f>380462-380462</f>
        <v>0</v>
      </c>
      <c r="F35" s="104">
        <v>0</v>
      </c>
      <c r="G35" s="104">
        <v>0</v>
      </c>
      <c r="H35" s="104">
        <v>0</v>
      </c>
      <c r="I35" s="104">
        <v>0</v>
      </c>
      <c r="J35" s="138">
        <v>0</v>
      </c>
      <c r="K35" s="13"/>
    </row>
    <row r="36" spans="1:11" s="117" customFormat="1" ht="126.75" customHeight="1" x14ac:dyDescent="0.25">
      <c r="A36" s="5" t="s">
        <v>28</v>
      </c>
      <c r="B36" s="6" t="s">
        <v>6</v>
      </c>
      <c r="C36" s="6" t="s">
        <v>7</v>
      </c>
      <c r="D36" s="126" t="s">
        <v>8</v>
      </c>
      <c r="E36" s="105" t="s">
        <v>8</v>
      </c>
      <c r="F36" s="105" t="s">
        <v>8</v>
      </c>
      <c r="G36" s="105" t="s">
        <v>8</v>
      </c>
      <c r="H36" s="105" t="s">
        <v>8</v>
      </c>
      <c r="I36" s="105" t="s">
        <v>8</v>
      </c>
      <c r="J36" s="139" t="s">
        <v>8</v>
      </c>
      <c r="K36" s="13"/>
    </row>
    <row r="37" spans="1:11" s="117" customFormat="1" ht="158.25" customHeight="1" x14ac:dyDescent="0.25">
      <c r="A37" s="118" t="s">
        <v>35</v>
      </c>
      <c r="B37" s="119" t="s">
        <v>6</v>
      </c>
      <c r="C37" s="6" t="s">
        <v>7</v>
      </c>
      <c r="D37" s="126" t="s">
        <v>8</v>
      </c>
      <c r="E37" s="105" t="s">
        <v>8</v>
      </c>
      <c r="F37" s="105" t="s">
        <v>8</v>
      </c>
      <c r="G37" s="105" t="s">
        <v>8</v>
      </c>
      <c r="H37" s="105" t="s">
        <v>8</v>
      </c>
      <c r="I37" s="105" t="s">
        <v>8</v>
      </c>
      <c r="J37" s="139" t="s">
        <v>8</v>
      </c>
      <c r="K37" s="13"/>
    </row>
    <row r="38" spans="1:11" s="117" customFormat="1" ht="114" customHeight="1" x14ac:dyDescent="0.25">
      <c r="A38" s="118" t="s">
        <v>34</v>
      </c>
      <c r="B38" s="119" t="s">
        <v>6</v>
      </c>
      <c r="C38" s="6" t="s">
        <v>7</v>
      </c>
      <c r="D38" s="126" t="s">
        <v>8</v>
      </c>
      <c r="E38" s="105" t="s">
        <v>8</v>
      </c>
      <c r="F38" s="105" t="s">
        <v>8</v>
      </c>
      <c r="G38" s="105" t="s">
        <v>8</v>
      </c>
      <c r="H38" s="105" t="s">
        <v>8</v>
      </c>
      <c r="I38" s="105" t="s">
        <v>8</v>
      </c>
      <c r="J38" s="139" t="s">
        <v>8</v>
      </c>
      <c r="K38" s="13"/>
    </row>
    <row r="39" spans="1:11" s="117" customFormat="1" ht="114" customHeight="1" x14ac:dyDescent="0.25">
      <c r="A39" s="118" t="s">
        <v>94</v>
      </c>
      <c r="B39" s="119" t="s">
        <v>6</v>
      </c>
      <c r="C39" s="6" t="s">
        <v>7</v>
      </c>
      <c r="D39" s="80">
        <f t="shared" ref="D39:D43" si="14">SUM(E39:J39)</f>
        <v>24000</v>
      </c>
      <c r="E39" s="160">
        <f>2000*2</f>
        <v>4000</v>
      </c>
      <c r="F39" s="130">
        <f t="shared" ref="F39:J39" si="15">2000*2</f>
        <v>4000</v>
      </c>
      <c r="G39" s="130">
        <f t="shared" si="15"/>
        <v>4000</v>
      </c>
      <c r="H39" s="130">
        <f t="shared" si="15"/>
        <v>4000</v>
      </c>
      <c r="I39" s="130">
        <f t="shared" si="15"/>
        <v>4000</v>
      </c>
      <c r="J39" s="142">
        <f t="shared" si="15"/>
        <v>4000</v>
      </c>
      <c r="K39" s="13"/>
    </row>
    <row r="40" spans="1:11" s="117" customFormat="1" ht="114" customHeight="1" x14ac:dyDescent="0.25">
      <c r="A40" s="118" t="s">
        <v>95</v>
      </c>
      <c r="B40" s="119" t="s">
        <v>6</v>
      </c>
      <c r="C40" s="6" t="s">
        <v>7</v>
      </c>
      <c r="D40" s="80">
        <f t="shared" si="14"/>
        <v>322936.8</v>
      </c>
      <c r="E40" s="160">
        <f>10*5382.28</f>
        <v>53822.799999999996</v>
      </c>
      <c r="F40" s="130">
        <f t="shared" ref="F40:J40" si="16">10*5382.28</f>
        <v>53822.799999999996</v>
      </c>
      <c r="G40" s="130">
        <f t="shared" si="16"/>
        <v>53822.799999999996</v>
      </c>
      <c r="H40" s="130">
        <f t="shared" si="16"/>
        <v>53822.799999999996</v>
      </c>
      <c r="I40" s="130">
        <f t="shared" si="16"/>
        <v>53822.799999999996</v>
      </c>
      <c r="J40" s="142">
        <f t="shared" si="16"/>
        <v>53822.799999999996</v>
      </c>
      <c r="K40" s="13"/>
    </row>
    <row r="41" spans="1:11" s="117" customFormat="1" ht="84" customHeight="1" x14ac:dyDescent="0.25">
      <c r="A41" s="5" t="s">
        <v>29</v>
      </c>
      <c r="B41" s="6" t="s">
        <v>6</v>
      </c>
      <c r="C41" s="6" t="s">
        <v>7</v>
      </c>
      <c r="D41" s="80">
        <f t="shared" si="14"/>
        <v>12044422.050000001</v>
      </c>
      <c r="E41" s="104">
        <f t="shared" ref="E41:J41" si="17">SUM(E42:E43)</f>
        <v>1296922.05</v>
      </c>
      <c r="F41" s="104">
        <f t="shared" si="17"/>
        <v>2149500</v>
      </c>
      <c r="G41" s="104">
        <f t="shared" si="17"/>
        <v>2149500</v>
      </c>
      <c r="H41" s="104">
        <f t="shared" si="17"/>
        <v>2149500</v>
      </c>
      <c r="I41" s="104">
        <f t="shared" si="17"/>
        <v>2149500</v>
      </c>
      <c r="J41" s="138">
        <f t="shared" si="17"/>
        <v>2149500</v>
      </c>
      <c r="K41" s="13"/>
    </row>
    <row r="42" spans="1:11" s="117" customFormat="1" ht="225.75" customHeight="1" x14ac:dyDescent="0.25">
      <c r="A42" s="5" t="s">
        <v>96</v>
      </c>
      <c r="B42" s="6" t="s">
        <v>6</v>
      </c>
      <c r="C42" s="6" t="s">
        <v>7</v>
      </c>
      <c r="D42" s="80">
        <f t="shared" si="14"/>
        <v>11177422.050000001</v>
      </c>
      <c r="E42" s="128">
        <f>125*7700+80000-250000-300000+397000-92870.02+355792.07</f>
        <v>1152422.05</v>
      </c>
      <c r="F42" s="127">
        <f>250*7700+80000</f>
        <v>2005000</v>
      </c>
      <c r="G42" s="127">
        <f t="shared" ref="G42:J42" si="18">250*7700+80000</f>
        <v>2005000</v>
      </c>
      <c r="H42" s="127">
        <f t="shared" si="18"/>
        <v>2005000</v>
      </c>
      <c r="I42" s="127">
        <f t="shared" si="18"/>
        <v>2005000</v>
      </c>
      <c r="J42" s="140">
        <f t="shared" si="18"/>
        <v>2005000</v>
      </c>
      <c r="K42" s="13"/>
    </row>
    <row r="43" spans="1:11" s="117" customFormat="1" ht="93.75" customHeight="1" x14ac:dyDescent="0.25">
      <c r="A43" s="5" t="s">
        <v>97</v>
      </c>
      <c r="B43" s="6" t="s">
        <v>6</v>
      </c>
      <c r="C43" s="6" t="s">
        <v>7</v>
      </c>
      <c r="D43" s="80">
        <f t="shared" si="14"/>
        <v>867000</v>
      </c>
      <c r="E43" s="104">
        <v>144500</v>
      </c>
      <c r="F43" s="104">
        <v>144500</v>
      </c>
      <c r="G43" s="104">
        <v>144500</v>
      </c>
      <c r="H43" s="104">
        <v>144500</v>
      </c>
      <c r="I43" s="104">
        <v>144500</v>
      </c>
      <c r="J43" s="138">
        <v>144500</v>
      </c>
      <c r="K43" s="13"/>
    </row>
    <row r="44" spans="1:11" s="117" customFormat="1" ht="48.75" customHeight="1" x14ac:dyDescent="0.25">
      <c r="A44" s="163" t="s">
        <v>13</v>
      </c>
      <c r="B44" s="166" t="s">
        <v>6</v>
      </c>
      <c r="C44" s="148" t="s">
        <v>68</v>
      </c>
      <c r="D44" s="80">
        <f>SUM(E44:J44)</f>
        <v>29154986.139999997</v>
      </c>
      <c r="E44" s="104">
        <f>E45+E46</f>
        <v>9108920.3900000006</v>
      </c>
      <c r="F44" s="104">
        <f t="shared" ref="F44:J44" si="19">F45+F46</f>
        <v>4009213.15</v>
      </c>
      <c r="G44" s="104">
        <f t="shared" si="19"/>
        <v>4009213.15</v>
      </c>
      <c r="H44" s="104">
        <f t="shared" si="19"/>
        <v>4009213.15</v>
      </c>
      <c r="I44" s="104">
        <f t="shared" si="19"/>
        <v>4009213.15</v>
      </c>
      <c r="J44" s="104">
        <f t="shared" si="19"/>
        <v>4009213.15</v>
      </c>
      <c r="K44" s="13"/>
    </row>
    <row r="45" spans="1:11" s="117" customFormat="1" ht="48.75" customHeight="1" x14ac:dyDescent="0.25">
      <c r="A45" s="164"/>
      <c r="B45" s="167"/>
      <c r="C45" s="148" t="s">
        <v>7</v>
      </c>
      <c r="D45" s="104">
        <f>D47+D50+D51+D52+D54+D56</f>
        <v>25582880.25</v>
      </c>
      <c r="E45" s="104">
        <f>E47+E50+E51+E52+E54+E56</f>
        <v>5536814.5000000009</v>
      </c>
      <c r="F45" s="104">
        <f t="shared" ref="F45:J45" si="20">F47+F50+F51+F52+F54+F56</f>
        <v>4009213.15</v>
      </c>
      <c r="G45" s="104">
        <f t="shared" si="20"/>
        <v>4009213.15</v>
      </c>
      <c r="H45" s="104">
        <f t="shared" si="20"/>
        <v>4009213.15</v>
      </c>
      <c r="I45" s="104">
        <f t="shared" si="20"/>
        <v>4009213.15</v>
      </c>
      <c r="J45" s="104">
        <f t="shared" si="20"/>
        <v>4009213.15</v>
      </c>
      <c r="K45" s="13"/>
    </row>
    <row r="46" spans="1:11" s="117" customFormat="1" ht="48.75" customHeight="1" x14ac:dyDescent="0.25">
      <c r="A46" s="165"/>
      <c r="B46" s="168"/>
      <c r="C46" s="148" t="s">
        <v>109</v>
      </c>
      <c r="D46" s="80">
        <f>D55</f>
        <v>3572105.89</v>
      </c>
      <c r="E46" s="104">
        <f t="shared" ref="E46:J46" si="21">E55</f>
        <v>3572105.89</v>
      </c>
      <c r="F46" s="104">
        <f t="shared" si="21"/>
        <v>0</v>
      </c>
      <c r="G46" s="104">
        <f t="shared" si="21"/>
        <v>0</v>
      </c>
      <c r="H46" s="104">
        <f t="shared" si="21"/>
        <v>0</v>
      </c>
      <c r="I46" s="104">
        <f t="shared" si="21"/>
        <v>0</v>
      </c>
      <c r="J46" s="138">
        <f t="shared" si="21"/>
        <v>0</v>
      </c>
      <c r="K46" s="13"/>
    </row>
    <row r="47" spans="1:11" s="117" customFormat="1" ht="42.75" customHeight="1" x14ac:dyDescent="0.25">
      <c r="A47" s="163" t="s">
        <v>30</v>
      </c>
      <c r="B47" s="161"/>
      <c r="C47" s="6" t="s">
        <v>68</v>
      </c>
      <c r="D47" s="80">
        <f t="shared" ref="D47:D49" si="22">SUM(E47:J47)</f>
        <v>10091926.370000001</v>
      </c>
      <c r="E47" s="104">
        <f>E48+E49</f>
        <v>1873530.6199999999</v>
      </c>
      <c r="F47" s="104">
        <f t="shared" ref="F47:J47" si="23">F48+F49</f>
        <v>1643679.15</v>
      </c>
      <c r="G47" s="104">
        <f t="shared" si="23"/>
        <v>1643679.15</v>
      </c>
      <c r="H47" s="104">
        <f t="shared" si="23"/>
        <v>1643679.15</v>
      </c>
      <c r="I47" s="104">
        <f t="shared" si="23"/>
        <v>1643679.15</v>
      </c>
      <c r="J47" s="104">
        <f t="shared" si="23"/>
        <v>1643679.15</v>
      </c>
      <c r="K47" s="13"/>
    </row>
    <row r="48" spans="1:11" s="117" customFormat="1" ht="84.75" customHeight="1" x14ac:dyDescent="0.25">
      <c r="A48" s="164"/>
      <c r="B48" s="159" t="s">
        <v>6</v>
      </c>
      <c r="C48" s="154" t="s">
        <v>7</v>
      </c>
      <c r="D48" s="80">
        <f t="shared" si="22"/>
        <v>9862778.1500000004</v>
      </c>
      <c r="E48" s="104">
        <f>1271410.4+70000-120000-41400+304372+160000</f>
        <v>1644382.4</v>
      </c>
      <c r="F48" s="104">
        <f t="shared" ref="F48:J48" si="24">1573679.15+70000</f>
        <v>1643679.15</v>
      </c>
      <c r="G48" s="104">
        <f t="shared" si="24"/>
        <v>1643679.15</v>
      </c>
      <c r="H48" s="104">
        <f t="shared" si="24"/>
        <v>1643679.15</v>
      </c>
      <c r="I48" s="104">
        <f t="shared" si="24"/>
        <v>1643679.15</v>
      </c>
      <c r="J48" s="138">
        <f t="shared" si="24"/>
        <v>1643679.15</v>
      </c>
      <c r="K48" s="13"/>
    </row>
    <row r="49" spans="1:11" s="117" customFormat="1" ht="57.75" customHeight="1" x14ac:dyDescent="0.25">
      <c r="A49" s="165"/>
      <c r="B49" s="6" t="s">
        <v>112</v>
      </c>
      <c r="C49" s="154" t="s">
        <v>7</v>
      </c>
      <c r="D49" s="80">
        <f t="shared" si="22"/>
        <v>229148.22</v>
      </c>
      <c r="E49" s="104">
        <f>41400-2000+189748.22</f>
        <v>229148.22</v>
      </c>
      <c r="F49" s="104">
        <v>0</v>
      </c>
      <c r="G49" s="104">
        <v>0</v>
      </c>
      <c r="H49" s="104">
        <v>0</v>
      </c>
      <c r="I49" s="104">
        <v>0</v>
      </c>
      <c r="J49" s="138">
        <v>0</v>
      </c>
      <c r="K49" s="13"/>
    </row>
    <row r="50" spans="1:11" s="117" customFormat="1" ht="109.5" customHeight="1" x14ac:dyDescent="0.25">
      <c r="A50" s="5" t="s">
        <v>98</v>
      </c>
      <c r="B50" s="6" t="s">
        <v>6</v>
      </c>
      <c r="C50" s="6" t="s">
        <v>7</v>
      </c>
      <c r="D50" s="80">
        <f t="shared" ref="D50:D61" si="25">SUM(E50:J50)</f>
        <v>933348.75</v>
      </c>
      <c r="E50" s="128">
        <f>659806.75+46834-307462+300000</f>
        <v>699178.75</v>
      </c>
      <c r="F50" s="128">
        <v>46834</v>
      </c>
      <c r="G50" s="128">
        <v>46834</v>
      </c>
      <c r="H50" s="129">
        <v>46834</v>
      </c>
      <c r="I50" s="128">
        <v>46834</v>
      </c>
      <c r="J50" s="141">
        <v>46834</v>
      </c>
      <c r="K50" s="13"/>
    </row>
    <row r="51" spans="1:11" s="117" customFormat="1" ht="84" customHeight="1" x14ac:dyDescent="0.25">
      <c r="A51" s="5" t="s">
        <v>99</v>
      </c>
      <c r="B51" s="6" t="s">
        <v>6</v>
      </c>
      <c r="C51" s="120" t="s">
        <v>7</v>
      </c>
      <c r="D51" s="80">
        <f t="shared" si="25"/>
        <v>13901842.02</v>
      </c>
      <c r="E51" s="128">
        <f>64850*12+600000+47525*12+30850*12-150000-62076+1718.02+50000+150000</f>
        <v>2308342.02</v>
      </c>
      <c r="F51" s="127">
        <f t="shared" ref="F51:J51" si="26">64850*12+600000+47525*12+30850*12</f>
        <v>2318700</v>
      </c>
      <c r="G51" s="127">
        <f t="shared" si="26"/>
        <v>2318700</v>
      </c>
      <c r="H51" s="127">
        <f t="shared" si="26"/>
        <v>2318700</v>
      </c>
      <c r="I51" s="127">
        <f t="shared" si="26"/>
        <v>2318700</v>
      </c>
      <c r="J51" s="140">
        <f t="shared" si="26"/>
        <v>2318700</v>
      </c>
      <c r="K51" s="13"/>
    </row>
    <row r="52" spans="1:11" s="117" customFormat="1" ht="84" customHeight="1" x14ac:dyDescent="0.25">
      <c r="A52" s="5" t="s">
        <v>113</v>
      </c>
      <c r="B52" s="6" t="s">
        <v>112</v>
      </c>
      <c r="C52" s="120" t="s">
        <v>7</v>
      </c>
      <c r="D52" s="80">
        <f t="shared" si="25"/>
        <v>122000</v>
      </c>
      <c r="E52" s="128">
        <f>120000+2000</f>
        <v>122000</v>
      </c>
      <c r="F52" s="127">
        <v>0</v>
      </c>
      <c r="G52" s="127">
        <v>0</v>
      </c>
      <c r="H52" s="127">
        <v>0</v>
      </c>
      <c r="I52" s="127">
        <v>0</v>
      </c>
      <c r="J52" s="140">
        <v>0</v>
      </c>
      <c r="K52" s="13"/>
    </row>
    <row r="53" spans="1:11" s="117" customFormat="1" ht="42" customHeight="1" x14ac:dyDescent="0.25">
      <c r="A53" s="197" t="s">
        <v>117</v>
      </c>
      <c r="B53" s="166" t="s">
        <v>112</v>
      </c>
      <c r="C53" s="154" t="s">
        <v>68</v>
      </c>
      <c r="D53" s="80">
        <f t="shared" si="25"/>
        <v>4105869</v>
      </c>
      <c r="E53" s="128">
        <f>E54+E55</f>
        <v>4105869</v>
      </c>
      <c r="F53" s="127">
        <f t="shared" ref="F53:J53" si="27">F54+F55</f>
        <v>0</v>
      </c>
      <c r="G53" s="127">
        <f t="shared" si="27"/>
        <v>0</v>
      </c>
      <c r="H53" s="127">
        <f t="shared" si="27"/>
        <v>0</v>
      </c>
      <c r="I53" s="127">
        <f t="shared" si="27"/>
        <v>0</v>
      </c>
      <c r="J53" s="127">
        <f t="shared" si="27"/>
        <v>0</v>
      </c>
      <c r="K53" s="13"/>
    </row>
    <row r="54" spans="1:11" s="117" customFormat="1" ht="42" customHeight="1" x14ac:dyDescent="0.25">
      <c r="A54" s="198"/>
      <c r="B54" s="167"/>
      <c r="C54" s="154" t="s">
        <v>7</v>
      </c>
      <c r="D54" s="80">
        <f t="shared" si="25"/>
        <v>533763.1100000001</v>
      </c>
      <c r="E54" s="128">
        <f>643500.17-109737.06</f>
        <v>533763.1100000001</v>
      </c>
      <c r="F54" s="127">
        <v>0</v>
      </c>
      <c r="G54" s="127">
        <v>0</v>
      </c>
      <c r="H54" s="127">
        <v>0</v>
      </c>
      <c r="I54" s="127">
        <v>0</v>
      </c>
      <c r="J54" s="140">
        <v>0</v>
      </c>
      <c r="K54" s="13"/>
    </row>
    <row r="55" spans="1:11" s="117" customFormat="1" ht="42" customHeight="1" x14ac:dyDescent="0.25">
      <c r="A55" s="199"/>
      <c r="B55" s="168"/>
      <c r="C55" s="154" t="s">
        <v>109</v>
      </c>
      <c r="D55" s="80">
        <f t="shared" si="25"/>
        <v>3572105.89</v>
      </c>
      <c r="E55" s="128">
        <f>4306499.83-734393.94</f>
        <v>3572105.89</v>
      </c>
      <c r="F55" s="127">
        <v>0</v>
      </c>
      <c r="G55" s="127">
        <v>0</v>
      </c>
      <c r="H55" s="127">
        <v>0</v>
      </c>
      <c r="I55" s="127">
        <v>0</v>
      </c>
      <c r="J55" s="140">
        <v>0</v>
      </c>
      <c r="K55" s="13"/>
    </row>
    <row r="56" spans="1:11" s="117" customFormat="1" ht="78" customHeight="1" x14ac:dyDescent="0.25">
      <c r="A56" s="158" t="s">
        <v>116</v>
      </c>
      <c r="B56" s="6" t="s">
        <v>6</v>
      </c>
      <c r="C56" s="120" t="s">
        <v>7</v>
      </c>
      <c r="D56" s="80">
        <f t="shared" si="25"/>
        <v>0</v>
      </c>
      <c r="E56" s="128">
        <v>0</v>
      </c>
      <c r="F56" s="127">
        <v>0</v>
      </c>
      <c r="G56" s="127">
        <v>0</v>
      </c>
      <c r="H56" s="127">
        <v>0</v>
      </c>
      <c r="I56" s="127">
        <v>0</v>
      </c>
      <c r="J56" s="140">
        <v>0</v>
      </c>
      <c r="K56" s="13"/>
    </row>
    <row r="57" spans="1:11" s="117" customFormat="1" ht="84" customHeight="1" x14ac:dyDescent="0.25">
      <c r="A57" s="5" t="s">
        <v>14</v>
      </c>
      <c r="B57" s="6" t="s">
        <v>6</v>
      </c>
      <c r="C57" s="6" t="s">
        <v>7</v>
      </c>
      <c r="D57" s="80">
        <f t="shared" si="25"/>
        <v>74950454.63000001</v>
      </c>
      <c r="E57" s="104">
        <f>SUM(E58:E61)</f>
        <v>13883660.23</v>
      </c>
      <c r="F57" s="104">
        <f t="shared" ref="F57:J57" si="28">SUM(F58:F61)</f>
        <v>12213358.880000001</v>
      </c>
      <c r="G57" s="104">
        <f t="shared" si="28"/>
        <v>12213358.880000001</v>
      </c>
      <c r="H57" s="104">
        <f t="shared" si="28"/>
        <v>12213358.880000001</v>
      </c>
      <c r="I57" s="104">
        <f t="shared" si="28"/>
        <v>12213358.880000001</v>
      </c>
      <c r="J57" s="138">
        <f t="shared" si="28"/>
        <v>12213358.880000001</v>
      </c>
      <c r="K57" s="13"/>
    </row>
    <row r="58" spans="1:11" s="117" customFormat="1" ht="85.5" customHeight="1" x14ac:dyDescent="0.25">
      <c r="A58" s="5" t="s">
        <v>31</v>
      </c>
      <c r="B58" s="6" t="s">
        <v>6</v>
      </c>
      <c r="C58" s="6" t="s">
        <v>7</v>
      </c>
      <c r="D58" s="80">
        <f t="shared" si="25"/>
        <v>73527418.63000001</v>
      </c>
      <c r="E58" s="131">
        <f>12013602.88+1445801.35</f>
        <v>13459404.23</v>
      </c>
      <c r="F58" s="131">
        <v>12013602.880000001</v>
      </c>
      <c r="G58" s="131">
        <v>12013602.880000001</v>
      </c>
      <c r="H58" s="131">
        <v>12013602.880000001</v>
      </c>
      <c r="I58" s="131">
        <v>12013602.880000001</v>
      </c>
      <c r="J58" s="143">
        <v>12013602.880000001</v>
      </c>
      <c r="K58" s="13"/>
    </row>
    <row r="59" spans="1:11" s="117" customFormat="1" ht="89.25" customHeight="1" x14ac:dyDescent="0.25">
      <c r="A59" s="5" t="s">
        <v>100</v>
      </c>
      <c r="B59" s="6" t="s">
        <v>6</v>
      </c>
      <c r="C59" s="6" t="s">
        <v>7</v>
      </c>
      <c r="D59" s="80">
        <f t="shared" si="25"/>
        <v>1423036</v>
      </c>
      <c r="E59" s="131">
        <f>199756+86900+137600</f>
        <v>424256</v>
      </c>
      <c r="F59" s="131">
        <v>199756</v>
      </c>
      <c r="G59" s="131">
        <v>199756</v>
      </c>
      <c r="H59" s="132">
        <v>199756</v>
      </c>
      <c r="I59" s="131">
        <v>199756</v>
      </c>
      <c r="J59" s="141">
        <v>199756</v>
      </c>
      <c r="K59" s="13"/>
    </row>
    <row r="60" spans="1:11" s="117" customFormat="1" ht="91.5" customHeight="1" x14ac:dyDescent="0.25">
      <c r="A60" s="5" t="s">
        <v>39</v>
      </c>
      <c r="B60" s="6" t="s">
        <v>6</v>
      </c>
      <c r="C60" s="6" t="s">
        <v>7</v>
      </c>
      <c r="D60" s="82">
        <f t="shared" si="25"/>
        <v>0</v>
      </c>
      <c r="E60" s="106">
        <v>0</v>
      </c>
      <c r="F60" s="106">
        <v>0</v>
      </c>
      <c r="G60" s="106">
        <v>0</v>
      </c>
      <c r="H60" s="106">
        <v>0</v>
      </c>
      <c r="I60" s="106">
        <v>0</v>
      </c>
      <c r="J60" s="136">
        <v>0</v>
      </c>
      <c r="K60" s="13"/>
    </row>
    <row r="61" spans="1:11" s="117" customFormat="1" ht="111.75" customHeight="1" x14ac:dyDescent="0.25">
      <c r="A61" s="5" t="s">
        <v>42</v>
      </c>
      <c r="B61" s="6" t="s">
        <v>6</v>
      </c>
      <c r="C61" s="6" t="s">
        <v>7</v>
      </c>
      <c r="D61" s="82">
        <f t="shared" si="25"/>
        <v>0</v>
      </c>
      <c r="E61" s="106">
        <v>0</v>
      </c>
      <c r="F61" s="106">
        <v>0</v>
      </c>
      <c r="G61" s="106">
        <v>0</v>
      </c>
      <c r="H61" s="106">
        <v>0</v>
      </c>
      <c r="I61" s="106">
        <v>0</v>
      </c>
      <c r="J61" s="136">
        <v>0</v>
      </c>
      <c r="K61" s="13"/>
    </row>
    <row r="62" spans="1:11" ht="96.75" customHeight="1" x14ac:dyDescent="0.25">
      <c r="A62" s="84" t="s">
        <v>80</v>
      </c>
      <c r="B62" s="133" t="s">
        <v>106</v>
      </c>
      <c r="C62" s="73" t="s">
        <v>68</v>
      </c>
      <c r="D62" s="82">
        <f>D65+D72+D89+D94+D95+D96+D97</f>
        <v>688860346.04999995</v>
      </c>
      <c r="E62" s="106">
        <f>E65+E72+E89+E94+E95+E96+E97</f>
        <v>140131894.89999998</v>
      </c>
      <c r="F62" s="106">
        <f t="shared" ref="F62:J62" si="29">F65+F72+F89+F94+F95+F96+F97</f>
        <v>109305977.88</v>
      </c>
      <c r="G62" s="106">
        <f t="shared" si="29"/>
        <v>108485263.64</v>
      </c>
      <c r="H62" s="106">
        <f t="shared" si="29"/>
        <v>110312403.20999999</v>
      </c>
      <c r="I62" s="106">
        <f t="shared" si="29"/>
        <v>110312403.20999999</v>
      </c>
      <c r="J62" s="136">
        <f t="shared" si="29"/>
        <v>110312403.20999999</v>
      </c>
    </row>
    <row r="63" spans="1:11" ht="87.75" customHeight="1" x14ac:dyDescent="0.25">
      <c r="A63" s="14" t="s">
        <v>32</v>
      </c>
      <c r="B63" s="11" t="s">
        <v>89</v>
      </c>
      <c r="C63" s="4" t="s">
        <v>7</v>
      </c>
      <c r="D63" s="126" t="s">
        <v>8</v>
      </c>
      <c r="E63" s="105" t="s">
        <v>8</v>
      </c>
      <c r="F63" s="105" t="s">
        <v>8</v>
      </c>
      <c r="G63" s="105" t="s">
        <v>8</v>
      </c>
      <c r="H63" s="105" t="s">
        <v>8</v>
      </c>
      <c r="I63" s="105" t="s">
        <v>8</v>
      </c>
      <c r="J63" s="139" t="s">
        <v>8</v>
      </c>
    </row>
    <row r="64" spans="1:11" ht="104.25" customHeight="1" x14ac:dyDescent="0.25">
      <c r="A64" s="15" t="s">
        <v>60</v>
      </c>
      <c r="B64" s="7" t="s">
        <v>62</v>
      </c>
      <c r="C64" s="4" t="s">
        <v>7</v>
      </c>
      <c r="D64" s="126" t="s">
        <v>8</v>
      </c>
      <c r="E64" s="105" t="s">
        <v>8</v>
      </c>
      <c r="F64" s="105" t="s">
        <v>8</v>
      </c>
      <c r="G64" s="105" t="s">
        <v>8</v>
      </c>
      <c r="H64" s="105" t="s">
        <v>8</v>
      </c>
      <c r="I64" s="105" t="s">
        <v>8</v>
      </c>
      <c r="J64" s="139" t="s">
        <v>8</v>
      </c>
    </row>
    <row r="65" spans="1:10" ht="162" customHeight="1" x14ac:dyDescent="0.25">
      <c r="A65" s="18" t="s">
        <v>33</v>
      </c>
      <c r="B65" s="7" t="s">
        <v>63</v>
      </c>
      <c r="C65" s="6" t="s">
        <v>68</v>
      </c>
      <c r="D65" s="83">
        <f>SUM(D66:D71)</f>
        <v>6956770</v>
      </c>
      <c r="E65" s="107">
        <f>SUM(E66:E71)</f>
        <v>5075970</v>
      </c>
      <c r="F65" s="107">
        <f t="shared" ref="F65:J65" si="30">SUM(F66:F71)</f>
        <v>500000</v>
      </c>
      <c r="G65" s="107">
        <f t="shared" si="30"/>
        <v>500000</v>
      </c>
      <c r="H65" s="107">
        <f t="shared" si="30"/>
        <v>293600</v>
      </c>
      <c r="I65" s="107">
        <f t="shared" si="30"/>
        <v>293600</v>
      </c>
      <c r="J65" s="107">
        <f t="shared" si="30"/>
        <v>293600</v>
      </c>
    </row>
    <row r="66" spans="1:10" ht="99" customHeight="1" x14ac:dyDescent="0.25">
      <c r="A66" s="15" t="s">
        <v>84</v>
      </c>
      <c r="B66" s="7" t="s">
        <v>63</v>
      </c>
      <c r="C66" s="4" t="s">
        <v>7</v>
      </c>
      <c r="D66" s="81">
        <f>SUM(E66:J66)</f>
        <v>4311770</v>
      </c>
      <c r="E66" s="107">
        <f>500000+2337970-407000</f>
        <v>2430970</v>
      </c>
      <c r="F66" s="107">
        <v>500000</v>
      </c>
      <c r="G66" s="107">
        <v>500000</v>
      </c>
      <c r="H66" s="107">
        <v>293600</v>
      </c>
      <c r="I66" s="107">
        <v>293600</v>
      </c>
      <c r="J66" s="144">
        <v>293600</v>
      </c>
    </row>
    <row r="67" spans="1:10" ht="114" customHeight="1" x14ac:dyDescent="0.25">
      <c r="A67" s="18" t="s">
        <v>85</v>
      </c>
      <c r="B67" s="7" t="s">
        <v>88</v>
      </c>
      <c r="C67" s="6" t="s">
        <v>7</v>
      </c>
      <c r="D67" s="83">
        <f t="shared" ref="D67:D88" si="31">SUM(E67:J67)</f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44">
        <v>0</v>
      </c>
    </row>
    <row r="68" spans="1:10" ht="123.75" customHeight="1" x14ac:dyDescent="0.25">
      <c r="A68" s="18" t="s">
        <v>86</v>
      </c>
      <c r="B68" s="7" t="s">
        <v>88</v>
      </c>
      <c r="C68" s="6" t="s">
        <v>7</v>
      </c>
      <c r="D68" s="83">
        <f t="shared" si="31"/>
        <v>0</v>
      </c>
      <c r="E68" s="107">
        <v>0</v>
      </c>
      <c r="F68" s="107">
        <v>0</v>
      </c>
      <c r="G68" s="107">
        <v>0</v>
      </c>
      <c r="H68" s="107">
        <v>0</v>
      </c>
      <c r="I68" s="107">
        <v>0</v>
      </c>
      <c r="J68" s="144">
        <v>0</v>
      </c>
    </row>
    <row r="69" spans="1:10" ht="119.25" customHeight="1" x14ac:dyDescent="0.25">
      <c r="A69" s="18" t="s">
        <v>87</v>
      </c>
      <c r="B69" s="7" t="s">
        <v>63</v>
      </c>
      <c r="C69" s="6" t="s">
        <v>7</v>
      </c>
      <c r="D69" s="83">
        <f t="shared" si="31"/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44">
        <v>0</v>
      </c>
    </row>
    <row r="70" spans="1:10" ht="126.75" customHeight="1" x14ac:dyDescent="0.25">
      <c r="A70" s="15" t="s">
        <v>102</v>
      </c>
      <c r="B70" s="7" t="s">
        <v>63</v>
      </c>
      <c r="C70" s="6" t="s">
        <v>7</v>
      </c>
      <c r="D70" s="83">
        <f t="shared" si="31"/>
        <v>95000</v>
      </c>
      <c r="E70" s="107">
        <v>95000</v>
      </c>
      <c r="F70" s="107">
        <v>0</v>
      </c>
      <c r="G70" s="107">
        <v>0</v>
      </c>
      <c r="H70" s="107">
        <v>0</v>
      </c>
      <c r="I70" s="107">
        <v>0</v>
      </c>
      <c r="J70" s="144">
        <v>0</v>
      </c>
    </row>
    <row r="71" spans="1:10" ht="126.75" customHeight="1" x14ac:dyDescent="0.25">
      <c r="A71" s="15" t="s">
        <v>124</v>
      </c>
      <c r="B71" s="7" t="s">
        <v>63</v>
      </c>
      <c r="C71" s="6" t="s">
        <v>7</v>
      </c>
      <c r="D71" s="83">
        <f t="shared" si="31"/>
        <v>2550000</v>
      </c>
      <c r="E71" s="107">
        <f>750000+1800000</f>
        <v>2550000</v>
      </c>
      <c r="F71" s="107">
        <v>0</v>
      </c>
      <c r="G71" s="107">
        <v>0</v>
      </c>
      <c r="H71" s="107">
        <v>0</v>
      </c>
      <c r="I71" s="107">
        <v>0</v>
      </c>
      <c r="J71" s="144">
        <v>0</v>
      </c>
    </row>
    <row r="72" spans="1:10" ht="116.25" customHeight="1" x14ac:dyDescent="0.25">
      <c r="A72" s="163" t="s">
        <v>41</v>
      </c>
      <c r="B72" s="7" t="s">
        <v>36</v>
      </c>
      <c r="C72" s="4" t="s">
        <v>68</v>
      </c>
      <c r="D72" s="82">
        <f t="shared" si="31"/>
        <v>9339105.5999999996</v>
      </c>
      <c r="E72" s="106">
        <f t="shared" ref="E72" si="32">E73+E74+E75</f>
        <v>1913629.6</v>
      </c>
      <c r="F72" s="106">
        <f>F73+F74+F75</f>
        <v>1485269.2</v>
      </c>
      <c r="G72" s="106">
        <f t="shared" ref="G72:J72" si="33">G73+G74+G75</f>
        <v>1485269.2</v>
      </c>
      <c r="H72" s="106">
        <f t="shared" si="33"/>
        <v>1484979.2</v>
      </c>
      <c r="I72" s="106">
        <f t="shared" si="33"/>
        <v>1484979.2</v>
      </c>
      <c r="J72" s="136">
        <f t="shared" si="33"/>
        <v>1484979.2</v>
      </c>
    </row>
    <row r="73" spans="1:10" ht="18" customHeight="1" x14ac:dyDescent="0.3">
      <c r="A73" s="164"/>
      <c r="B73" s="8" t="s">
        <v>3</v>
      </c>
      <c r="C73" s="4" t="s">
        <v>7</v>
      </c>
      <c r="D73" s="82">
        <f t="shared" si="31"/>
        <v>8211890.6000000006</v>
      </c>
      <c r="E73" s="106">
        <f>E77+E81+E84+E87</f>
        <v>1629464.6</v>
      </c>
      <c r="F73" s="106">
        <f t="shared" ref="F73:J74" si="34">F77+F81+F84+F87</f>
        <v>1316479.2</v>
      </c>
      <c r="G73" s="106">
        <f t="shared" si="34"/>
        <v>1316479.2</v>
      </c>
      <c r="H73" s="106">
        <f t="shared" si="34"/>
        <v>1316489.2</v>
      </c>
      <c r="I73" s="106">
        <f t="shared" si="34"/>
        <v>1316489.2</v>
      </c>
      <c r="J73" s="136">
        <f t="shared" si="34"/>
        <v>1316489.2</v>
      </c>
    </row>
    <row r="74" spans="1:10" ht="16.5" customHeight="1" x14ac:dyDescent="0.3">
      <c r="A74" s="164"/>
      <c r="B74" s="8" t="s">
        <v>4</v>
      </c>
      <c r="C74" s="4" t="s">
        <v>7</v>
      </c>
      <c r="D74" s="82">
        <f t="shared" si="31"/>
        <v>1061005</v>
      </c>
      <c r="E74" s="106">
        <f>E78+E82+E85+E88</f>
        <v>273095</v>
      </c>
      <c r="F74" s="106">
        <f t="shared" si="34"/>
        <v>157720</v>
      </c>
      <c r="G74" s="106">
        <f t="shared" si="34"/>
        <v>157720</v>
      </c>
      <c r="H74" s="106">
        <f t="shared" si="34"/>
        <v>157490</v>
      </c>
      <c r="I74" s="106">
        <f t="shared" si="34"/>
        <v>157490</v>
      </c>
      <c r="J74" s="136">
        <f t="shared" si="34"/>
        <v>157490</v>
      </c>
    </row>
    <row r="75" spans="1:10" ht="16.5" customHeight="1" x14ac:dyDescent="0.25">
      <c r="A75" s="165"/>
      <c r="B75" s="6" t="s">
        <v>5</v>
      </c>
      <c r="C75" s="4" t="s">
        <v>7</v>
      </c>
      <c r="D75" s="82">
        <f t="shared" si="31"/>
        <v>66210</v>
      </c>
      <c r="E75" s="106">
        <f>E79</f>
        <v>11070</v>
      </c>
      <c r="F75" s="106">
        <f t="shared" ref="F75:J75" si="35">F79</f>
        <v>11070</v>
      </c>
      <c r="G75" s="106">
        <f t="shared" si="35"/>
        <v>11070</v>
      </c>
      <c r="H75" s="106">
        <f t="shared" si="35"/>
        <v>11000</v>
      </c>
      <c r="I75" s="106">
        <f t="shared" si="35"/>
        <v>11000</v>
      </c>
      <c r="J75" s="136">
        <f t="shared" si="35"/>
        <v>11000</v>
      </c>
    </row>
    <row r="76" spans="1:10" ht="111.75" customHeight="1" x14ac:dyDescent="0.25">
      <c r="A76" s="163" t="s">
        <v>17</v>
      </c>
      <c r="B76" s="7" t="s">
        <v>36</v>
      </c>
      <c r="C76" s="4" t="s">
        <v>68</v>
      </c>
      <c r="D76" s="82">
        <f t="shared" si="31"/>
        <v>3526050</v>
      </c>
      <c r="E76" s="106">
        <f t="shared" ref="E76:J76" si="36">E77+E78+E79</f>
        <v>1251190</v>
      </c>
      <c r="F76" s="106">
        <f t="shared" si="36"/>
        <v>455140</v>
      </c>
      <c r="G76" s="106">
        <f t="shared" si="36"/>
        <v>455140</v>
      </c>
      <c r="H76" s="106">
        <f t="shared" si="36"/>
        <v>454860</v>
      </c>
      <c r="I76" s="106">
        <f t="shared" si="36"/>
        <v>454860</v>
      </c>
      <c r="J76" s="136">
        <f t="shared" si="36"/>
        <v>454860</v>
      </c>
    </row>
    <row r="77" spans="1:10" ht="19.5" customHeight="1" x14ac:dyDescent="0.3">
      <c r="A77" s="164"/>
      <c r="B77" s="8" t="s">
        <v>3</v>
      </c>
      <c r="C77" s="4" t="s">
        <v>7</v>
      </c>
      <c r="D77" s="82">
        <f t="shared" si="31"/>
        <v>2867930</v>
      </c>
      <c r="E77" s="106">
        <f>344850+264000+272800+262000</f>
        <v>1143650</v>
      </c>
      <c r="F77" s="106">
        <v>344850</v>
      </c>
      <c r="G77" s="106">
        <v>344850</v>
      </c>
      <c r="H77" s="106">
        <v>344860</v>
      </c>
      <c r="I77" s="106">
        <v>344860</v>
      </c>
      <c r="J77" s="136">
        <v>344860</v>
      </c>
    </row>
    <row r="78" spans="1:10" ht="19.5" customHeight="1" x14ac:dyDescent="0.3">
      <c r="A78" s="164"/>
      <c r="B78" s="8" t="s">
        <v>4</v>
      </c>
      <c r="C78" s="4" t="s">
        <v>7</v>
      </c>
      <c r="D78" s="82">
        <f t="shared" si="31"/>
        <v>591910</v>
      </c>
      <c r="E78" s="106">
        <v>96470</v>
      </c>
      <c r="F78" s="106">
        <v>99220</v>
      </c>
      <c r="G78" s="106">
        <v>99220</v>
      </c>
      <c r="H78" s="106">
        <v>99000</v>
      </c>
      <c r="I78" s="106">
        <v>99000</v>
      </c>
      <c r="J78" s="136">
        <v>99000</v>
      </c>
    </row>
    <row r="79" spans="1:10" ht="19.5" customHeight="1" x14ac:dyDescent="0.25">
      <c r="A79" s="165"/>
      <c r="B79" s="6" t="s">
        <v>5</v>
      </c>
      <c r="C79" s="4" t="s">
        <v>7</v>
      </c>
      <c r="D79" s="82">
        <f t="shared" si="31"/>
        <v>66210</v>
      </c>
      <c r="E79" s="106">
        <v>11070</v>
      </c>
      <c r="F79" s="106">
        <v>11070</v>
      </c>
      <c r="G79" s="106">
        <v>11070</v>
      </c>
      <c r="H79" s="106">
        <v>11000</v>
      </c>
      <c r="I79" s="106">
        <v>11000</v>
      </c>
      <c r="J79" s="136">
        <v>11000</v>
      </c>
    </row>
    <row r="80" spans="1:10" ht="111" customHeight="1" x14ac:dyDescent="0.25">
      <c r="A80" s="163" t="s">
        <v>16</v>
      </c>
      <c r="B80" s="7" t="s">
        <v>107</v>
      </c>
      <c r="C80" s="4" t="s">
        <v>68</v>
      </c>
      <c r="D80" s="82">
        <f t="shared" si="31"/>
        <v>1026605.6000000001</v>
      </c>
      <c r="E80" s="106">
        <f>E81+E82</f>
        <v>119159.6</v>
      </c>
      <c r="F80" s="106">
        <f t="shared" ref="F80:J80" si="37">F81+F82</f>
        <v>181489.2</v>
      </c>
      <c r="G80" s="106">
        <f t="shared" si="37"/>
        <v>181489.2</v>
      </c>
      <c r="H80" s="106">
        <f t="shared" si="37"/>
        <v>181489.2</v>
      </c>
      <c r="I80" s="106">
        <f t="shared" si="37"/>
        <v>181489.2</v>
      </c>
      <c r="J80" s="136">
        <f t="shared" si="37"/>
        <v>181489.2</v>
      </c>
    </row>
    <row r="81" spans="1:10" ht="30" customHeight="1" x14ac:dyDescent="0.3">
      <c r="A81" s="164"/>
      <c r="B81" s="8" t="s">
        <v>3</v>
      </c>
      <c r="C81" s="4" t="s">
        <v>7</v>
      </c>
      <c r="D81" s="82">
        <f t="shared" si="31"/>
        <v>991980.60000000009</v>
      </c>
      <c r="E81" s="106">
        <v>84534.6</v>
      </c>
      <c r="F81" s="106">
        <v>181489.2</v>
      </c>
      <c r="G81" s="106">
        <v>181489.2</v>
      </c>
      <c r="H81" s="106">
        <v>181489.2</v>
      </c>
      <c r="I81" s="106">
        <v>181489.2</v>
      </c>
      <c r="J81" s="136">
        <v>181489.2</v>
      </c>
    </row>
    <row r="82" spans="1:10" ht="30" customHeight="1" x14ac:dyDescent="0.3">
      <c r="A82" s="165"/>
      <c r="B82" s="8" t="s">
        <v>4</v>
      </c>
      <c r="C82" s="4" t="s">
        <v>7</v>
      </c>
      <c r="D82" s="82">
        <f t="shared" si="31"/>
        <v>34625</v>
      </c>
      <c r="E82" s="106">
        <v>34625</v>
      </c>
      <c r="F82" s="106">
        <v>0</v>
      </c>
      <c r="G82" s="106">
        <v>0</v>
      </c>
      <c r="H82" s="106">
        <v>0</v>
      </c>
      <c r="I82" s="106">
        <v>0</v>
      </c>
      <c r="J82" s="136">
        <v>0</v>
      </c>
    </row>
    <row r="83" spans="1:10" ht="115.5" customHeight="1" x14ac:dyDescent="0.25">
      <c r="A83" s="163" t="s">
        <v>18</v>
      </c>
      <c r="B83" s="7" t="s">
        <v>103</v>
      </c>
      <c r="C83" s="4" t="s">
        <v>68</v>
      </c>
      <c r="D83" s="82">
        <f t="shared" si="31"/>
        <v>4391450</v>
      </c>
      <c r="E83" s="106">
        <f>E84+E85</f>
        <v>513280</v>
      </c>
      <c r="F83" s="106">
        <f t="shared" ref="F83:J83" si="38">F84+F85</f>
        <v>775640</v>
      </c>
      <c r="G83" s="106">
        <f t="shared" si="38"/>
        <v>775640</v>
      </c>
      <c r="H83" s="106">
        <f t="shared" si="38"/>
        <v>775630</v>
      </c>
      <c r="I83" s="106">
        <f t="shared" si="38"/>
        <v>775630</v>
      </c>
      <c r="J83" s="136">
        <f t="shared" si="38"/>
        <v>775630</v>
      </c>
    </row>
    <row r="84" spans="1:10" ht="24.75" customHeight="1" x14ac:dyDescent="0.3">
      <c r="A84" s="164"/>
      <c r="B84" s="8" t="s">
        <v>3</v>
      </c>
      <c r="C84" s="4" t="s">
        <v>7</v>
      </c>
      <c r="D84" s="82">
        <f t="shared" si="31"/>
        <v>3962980</v>
      </c>
      <c r="E84" s="106">
        <v>377280</v>
      </c>
      <c r="F84" s="106">
        <v>717140</v>
      </c>
      <c r="G84" s="106">
        <v>717140</v>
      </c>
      <c r="H84" s="106">
        <v>717140</v>
      </c>
      <c r="I84" s="106">
        <v>717140</v>
      </c>
      <c r="J84" s="136">
        <v>717140</v>
      </c>
    </row>
    <row r="85" spans="1:10" ht="21.75" customHeight="1" x14ac:dyDescent="0.3">
      <c r="A85" s="164"/>
      <c r="B85" s="8" t="s">
        <v>4</v>
      </c>
      <c r="C85" s="4" t="s">
        <v>7</v>
      </c>
      <c r="D85" s="82">
        <f t="shared" si="31"/>
        <v>428470</v>
      </c>
      <c r="E85" s="106">
        <v>136000</v>
      </c>
      <c r="F85" s="106">
        <v>58500</v>
      </c>
      <c r="G85" s="106">
        <v>58500</v>
      </c>
      <c r="H85" s="106">
        <v>58490</v>
      </c>
      <c r="I85" s="106">
        <v>58490</v>
      </c>
      <c r="J85" s="136">
        <v>58490</v>
      </c>
    </row>
    <row r="86" spans="1:10" ht="116.25" customHeight="1" x14ac:dyDescent="0.25">
      <c r="A86" s="189" t="s">
        <v>19</v>
      </c>
      <c r="B86" s="7" t="s">
        <v>103</v>
      </c>
      <c r="C86" s="4" t="s">
        <v>68</v>
      </c>
      <c r="D86" s="82">
        <f t="shared" si="31"/>
        <v>395000</v>
      </c>
      <c r="E86" s="106">
        <f>E87+E88</f>
        <v>30000</v>
      </c>
      <c r="F86" s="106">
        <f t="shared" ref="F86:J86" si="39">F87+F88</f>
        <v>73000</v>
      </c>
      <c r="G86" s="106">
        <f t="shared" si="39"/>
        <v>73000</v>
      </c>
      <c r="H86" s="106">
        <f t="shared" si="39"/>
        <v>73000</v>
      </c>
      <c r="I86" s="106">
        <f t="shared" si="39"/>
        <v>73000</v>
      </c>
      <c r="J86" s="136">
        <f t="shared" si="39"/>
        <v>73000</v>
      </c>
    </row>
    <row r="87" spans="1:10" ht="32.25" customHeight="1" x14ac:dyDescent="0.3">
      <c r="A87" s="190"/>
      <c r="B87" s="8" t="s">
        <v>3</v>
      </c>
      <c r="C87" s="4" t="s">
        <v>7</v>
      </c>
      <c r="D87" s="82">
        <f t="shared" si="31"/>
        <v>389000</v>
      </c>
      <c r="E87" s="106">
        <v>24000</v>
      </c>
      <c r="F87" s="106">
        <v>73000</v>
      </c>
      <c r="G87" s="106">
        <v>73000</v>
      </c>
      <c r="H87" s="106">
        <v>73000</v>
      </c>
      <c r="I87" s="106">
        <v>73000</v>
      </c>
      <c r="J87" s="136">
        <v>73000</v>
      </c>
    </row>
    <row r="88" spans="1:10" ht="32.25" customHeight="1" x14ac:dyDescent="0.3">
      <c r="A88" s="191"/>
      <c r="B88" s="8" t="s">
        <v>4</v>
      </c>
      <c r="C88" s="4" t="s">
        <v>7</v>
      </c>
      <c r="D88" s="82">
        <f t="shared" si="31"/>
        <v>6000</v>
      </c>
      <c r="E88" s="106">
        <v>6000</v>
      </c>
      <c r="F88" s="106">
        <v>0</v>
      </c>
      <c r="G88" s="106">
        <v>0</v>
      </c>
      <c r="H88" s="106">
        <v>0</v>
      </c>
      <c r="I88" s="106">
        <v>0</v>
      </c>
      <c r="J88" s="136">
        <v>0</v>
      </c>
    </row>
    <row r="89" spans="1:10" ht="63" customHeight="1" x14ac:dyDescent="0.25">
      <c r="A89" s="74" t="s">
        <v>21</v>
      </c>
      <c r="B89" s="7" t="s">
        <v>15</v>
      </c>
      <c r="C89" s="4" t="s">
        <v>7</v>
      </c>
      <c r="D89" s="82">
        <f t="shared" ref="D89:D96" si="40">SUM(E89:J89)</f>
        <v>666964470.44999993</v>
      </c>
      <c r="E89" s="106">
        <f>E90+E91+E92+E93</f>
        <v>131792295.29999998</v>
      </c>
      <c r="F89" s="106">
        <f t="shared" ref="F89:J89" si="41">F90+F91+F92+F93</f>
        <v>106470708.67999999</v>
      </c>
      <c r="G89" s="106">
        <f t="shared" si="41"/>
        <v>105649994.44</v>
      </c>
      <c r="H89" s="106">
        <f t="shared" si="41"/>
        <v>107683824.00999999</v>
      </c>
      <c r="I89" s="106">
        <f t="shared" si="41"/>
        <v>107683824.00999999</v>
      </c>
      <c r="J89" s="136">
        <f t="shared" si="41"/>
        <v>107683824.00999999</v>
      </c>
    </row>
    <row r="90" spans="1:10" ht="61.5" customHeight="1" x14ac:dyDescent="0.25">
      <c r="A90" s="74" t="s">
        <v>22</v>
      </c>
      <c r="B90" s="7" t="s">
        <v>15</v>
      </c>
      <c r="C90" s="4" t="s">
        <v>7</v>
      </c>
      <c r="D90" s="82">
        <f t="shared" si="40"/>
        <v>426200655.34000003</v>
      </c>
      <c r="E90" s="106">
        <f>77955621.64+16998+15000+3897354.05+26489.8+150000</f>
        <v>82061463.489999995</v>
      </c>
      <c r="F90" s="106">
        <v>68264112.019999996</v>
      </c>
      <c r="G90" s="106">
        <v>67443397.780000001</v>
      </c>
      <c r="H90" s="106">
        <f t="shared" ref="H90:J90" si="42">66261673.32-3905174.18-100000+3126758.21+4000000+150000-60000+3970</f>
        <v>69477227.349999994</v>
      </c>
      <c r="I90" s="106">
        <f t="shared" si="42"/>
        <v>69477227.349999994</v>
      </c>
      <c r="J90" s="136">
        <f t="shared" si="42"/>
        <v>69477227.349999994</v>
      </c>
    </row>
    <row r="91" spans="1:10" ht="80.25" customHeight="1" x14ac:dyDescent="0.25">
      <c r="A91" s="74" t="s">
        <v>59</v>
      </c>
      <c r="B91" s="6" t="s">
        <v>9</v>
      </c>
      <c r="C91" s="4" t="s">
        <v>7</v>
      </c>
      <c r="D91" s="82">
        <f t="shared" si="40"/>
        <v>18919620.460000001</v>
      </c>
      <c r="E91" s="106">
        <f>3231816.41+16000-264000-223278</f>
        <v>2760538.41</v>
      </c>
      <c r="F91" s="106">
        <v>3231816.41</v>
      </c>
      <c r="G91" s="106">
        <v>3231816.41</v>
      </c>
      <c r="H91" s="106">
        <v>3231816.41</v>
      </c>
      <c r="I91" s="106">
        <v>3231816.41</v>
      </c>
      <c r="J91" s="136">
        <v>3231816.41</v>
      </c>
    </row>
    <row r="92" spans="1:10" ht="51.75" customHeight="1" x14ac:dyDescent="0.25">
      <c r="A92" s="9" t="s">
        <v>58</v>
      </c>
      <c r="B92" s="7" t="s">
        <v>15</v>
      </c>
      <c r="C92" s="4" t="s">
        <v>7</v>
      </c>
      <c r="D92" s="82">
        <f t="shared" si="40"/>
        <v>216762</v>
      </c>
      <c r="E92" s="106">
        <f>40097-3970</f>
        <v>36127</v>
      </c>
      <c r="F92" s="106">
        <f t="shared" ref="F92:J92" si="43">40097-3970</f>
        <v>36127</v>
      </c>
      <c r="G92" s="106">
        <f t="shared" si="43"/>
        <v>36127</v>
      </c>
      <c r="H92" s="106">
        <f t="shared" si="43"/>
        <v>36127</v>
      </c>
      <c r="I92" s="106">
        <f t="shared" si="43"/>
        <v>36127</v>
      </c>
      <c r="J92" s="136">
        <f t="shared" si="43"/>
        <v>36127</v>
      </c>
    </row>
    <row r="93" spans="1:10" ht="66.75" customHeight="1" x14ac:dyDescent="0.25">
      <c r="A93" s="9" t="s">
        <v>56</v>
      </c>
      <c r="B93" s="6" t="s">
        <v>57</v>
      </c>
      <c r="C93" s="6" t="s">
        <v>7</v>
      </c>
      <c r="D93" s="82">
        <f t="shared" si="40"/>
        <v>221627432.65000001</v>
      </c>
      <c r="E93" s="106">
        <f>40888220.4+5998687+47259</f>
        <v>46934166.399999999</v>
      </c>
      <c r="F93" s="106">
        <f t="shared" ref="F93:J93" si="44">36607453.25-1668800</f>
        <v>34938653.25</v>
      </c>
      <c r="G93" s="106">
        <f t="shared" si="44"/>
        <v>34938653.25</v>
      </c>
      <c r="H93" s="106">
        <f t="shared" si="44"/>
        <v>34938653.25</v>
      </c>
      <c r="I93" s="106">
        <f t="shared" si="44"/>
        <v>34938653.25</v>
      </c>
      <c r="J93" s="136">
        <f t="shared" si="44"/>
        <v>34938653.25</v>
      </c>
    </row>
    <row r="94" spans="1:10" ht="61.5" customHeight="1" x14ac:dyDescent="0.25">
      <c r="A94" s="74" t="s">
        <v>23</v>
      </c>
      <c r="B94" s="6" t="s">
        <v>15</v>
      </c>
      <c r="C94" s="4" t="s">
        <v>7</v>
      </c>
      <c r="D94" s="82">
        <f t="shared" si="40"/>
        <v>1500000</v>
      </c>
      <c r="E94" s="106">
        <f>1000000-750000</f>
        <v>250000</v>
      </c>
      <c r="F94" s="106">
        <f t="shared" ref="F94:J94" si="45">1000000-750000</f>
        <v>250000</v>
      </c>
      <c r="G94" s="106">
        <f t="shared" si="45"/>
        <v>250000</v>
      </c>
      <c r="H94" s="106">
        <f t="shared" si="45"/>
        <v>250000</v>
      </c>
      <c r="I94" s="106">
        <f t="shared" si="45"/>
        <v>250000</v>
      </c>
      <c r="J94" s="136">
        <f t="shared" si="45"/>
        <v>250000</v>
      </c>
    </row>
    <row r="95" spans="1:10" ht="79.5" customHeight="1" x14ac:dyDescent="0.25">
      <c r="A95" s="74" t="s">
        <v>24</v>
      </c>
      <c r="B95" s="6" t="s">
        <v>15</v>
      </c>
      <c r="C95" s="4" t="s">
        <v>7</v>
      </c>
      <c r="D95" s="82">
        <f t="shared" si="40"/>
        <v>1200000</v>
      </c>
      <c r="E95" s="106">
        <v>200000</v>
      </c>
      <c r="F95" s="106">
        <v>200000</v>
      </c>
      <c r="G95" s="106">
        <v>200000</v>
      </c>
      <c r="H95" s="106">
        <v>200000</v>
      </c>
      <c r="I95" s="106">
        <v>200000</v>
      </c>
      <c r="J95" s="136">
        <v>200000</v>
      </c>
    </row>
    <row r="96" spans="1:10" ht="93.75" x14ac:dyDescent="0.25">
      <c r="A96" s="74" t="s">
        <v>70</v>
      </c>
      <c r="B96" s="6" t="s">
        <v>101</v>
      </c>
      <c r="C96" s="4" t="s">
        <v>7</v>
      </c>
      <c r="D96" s="82">
        <f t="shared" si="40"/>
        <v>2400000</v>
      </c>
      <c r="E96" s="106">
        <v>400000</v>
      </c>
      <c r="F96" s="106">
        <v>400000</v>
      </c>
      <c r="G96" s="106">
        <v>400000</v>
      </c>
      <c r="H96" s="106">
        <v>400000</v>
      </c>
      <c r="I96" s="106">
        <v>400000</v>
      </c>
      <c r="J96" s="136">
        <v>400000</v>
      </c>
    </row>
    <row r="97" spans="1:11" ht="133.5" customHeight="1" thickBot="1" x14ac:dyDescent="0.3">
      <c r="A97" s="121" t="s">
        <v>108</v>
      </c>
      <c r="B97" s="147" t="s">
        <v>106</v>
      </c>
      <c r="C97" s="122" t="s">
        <v>7</v>
      </c>
      <c r="D97" s="123">
        <f t="shared" ref="D97" si="46">SUM(E97:J97)</f>
        <v>500000</v>
      </c>
      <c r="E97" s="124">
        <v>500000</v>
      </c>
      <c r="F97" s="124">
        <v>0</v>
      </c>
      <c r="G97" s="124">
        <v>0</v>
      </c>
      <c r="H97" s="124">
        <v>0</v>
      </c>
      <c r="I97" s="124">
        <v>0</v>
      </c>
      <c r="J97" s="145">
        <v>0</v>
      </c>
      <c r="K97" t="s">
        <v>119</v>
      </c>
    </row>
    <row r="98" spans="1:11" ht="15.75" x14ac:dyDescent="0.25">
      <c r="A98" s="16"/>
      <c r="B98" s="2"/>
      <c r="C98" s="3"/>
      <c r="D98" s="108"/>
      <c r="E98" s="108"/>
      <c r="F98" s="108"/>
      <c r="G98" s="108"/>
    </row>
    <row r="99" spans="1:11" s="10" customFormat="1" ht="33.75" customHeight="1" x14ac:dyDescent="0.4">
      <c r="A99" s="186" t="s">
        <v>125</v>
      </c>
      <c r="B99" s="187"/>
      <c r="C99" s="188"/>
      <c r="D99" s="109"/>
      <c r="E99" s="109"/>
      <c r="F99" s="182"/>
      <c r="G99" s="182"/>
      <c r="H99" s="183" t="s">
        <v>111</v>
      </c>
      <c r="I99" s="183"/>
      <c r="J99" s="146"/>
    </row>
    <row r="100" spans="1:11" s="75" customFormat="1" ht="33.75" customHeight="1" x14ac:dyDescent="0.35">
      <c r="A100" s="70"/>
      <c r="B100" s="71"/>
      <c r="C100" s="72"/>
      <c r="D100" s="110"/>
      <c r="E100" s="110"/>
      <c r="F100" s="111"/>
      <c r="G100" s="111"/>
      <c r="H100" s="112"/>
      <c r="I100" s="112"/>
      <c r="J100" s="112"/>
    </row>
    <row r="101" spans="1:11" s="78" customFormat="1" ht="23.25" x14ac:dyDescent="0.35">
      <c r="A101" s="76" t="s">
        <v>43</v>
      </c>
      <c r="B101" s="76"/>
      <c r="C101" s="76"/>
      <c r="D101" s="77"/>
      <c r="E101" s="77"/>
      <c r="F101" s="77"/>
      <c r="G101" s="77"/>
      <c r="H101" s="113"/>
      <c r="I101" s="113"/>
      <c r="J101" s="113"/>
    </row>
    <row r="102" spans="1:11" x14ac:dyDescent="0.25">
      <c r="A102" s="17"/>
      <c r="B102" s="12"/>
      <c r="C102" s="12"/>
      <c r="D102" s="114"/>
      <c r="E102" s="114"/>
      <c r="F102" s="114"/>
      <c r="G102" s="114"/>
      <c r="H102" s="115"/>
      <c r="I102" s="115"/>
      <c r="J102" s="115"/>
    </row>
    <row r="103" spans="1:11" x14ac:dyDescent="0.25">
      <c r="A103" s="17"/>
      <c r="B103" s="12"/>
      <c r="C103" s="12"/>
      <c r="D103" s="114"/>
      <c r="E103" s="114"/>
      <c r="F103" s="114"/>
      <c r="G103" s="114"/>
    </row>
    <row r="104" spans="1:11" x14ac:dyDescent="0.25">
      <c r="A104" s="17"/>
      <c r="B104" s="12"/>
      <c r="C104" s="12"/>
      <c r="D104" s="114"/>
      <c r="E104" s="114"/>
      <c r="F104" s="114"/>
      <c r="G104" s="114"/>
    </row>
    <row r="105" spans="1:11" x14ac:dyDescent="0.25">
      <c r="A105" s="17"/>
      <c r="B105" s="12"/>
      <c r="C105" s="12"/>
      <c r="D105" s="114"/>
      <c r="E105" s="114"/>
      <c r="F105" s="114"/>
      <c r="G105" s="114"/>
    </row>
    <row r="106" spans="1:11" x14ac:dyDescent="0.25">
      <c r="A106" s="17"/>
      <c r="B106" s="12"/>
      <c r="C106" s="12"/>
      <c r="D106" s="114"/>
      <c r="E106" s="114"/>
      <c r="F106" s="114"/>
      <c r="G106" s="114"/>
    </row>
    <row r="107" spans="1:11" x14ac:dyDescent="0.25">
      <c r="A107" s="17"/>
      <c r="B107" s="12"/>
      <c r="C107" s="12"/>
      <c r="D107" s="114"/>
      <c r="E107" s="114"/>
      <c r="F107" s="114"/>
      <c r="G107" s="114"/>
    </row>
    <row r="108" spans="1:11" x14ac:dyDescent="0.25">
      <c r="A108" s="17"/>
      <c r="B108" s="12"/>
      <c r="C108" s="12"/>
      <c r="D108" s="114"/>
      <c r="E108" s="114"/>
      <c r="F108" s="114"/>
      <c r="G108" s="114"/>
    </row>
  </sheetData>
  <mergeCells count="31">
    <mergeCell ref="I4:J4"/>
    <mergeCell ref="F99:G99"/>
    <mergeCell ref="H99:I99"/>
    <mergeCell ref="A15:A17"/>
    <mergeCell ref="A83:A85"/>
    <mergeCell ref="B15:B17"/>
    <mergeCell ref="C15:C17"/>
    <mergeCell ref="A72:A75"/>
    <mergeCell ref="A76:A79"/>
    <mergeCell ref="A99:C99"/>
    <mergeCell ref="A80:A82"/>
    <mergeCell ref="A86:A88"/>
    <mergeCell ref="D15:D17"/>
    <mergeCell ref="E15:J15"/>
    <mergeCell ref="A53:A55"/>
    <mergeCell ref="B53:B55"/>
    <mergeCell ref="A44:A46"/>
    <mergeCell ref="B44:B46"/>
    <mergeCell ref="A47:A49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I16:I17"/>
    <mergeCell ref="E16:E17"/>
    <mergeCell ref="A13:J13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RowHeight="11.25" x14ac:dyDescent="0.2"/>
  <cols>
    <col min="1" max="1" width="52.42578125" style="24" customWidth="1"/>
    <col min="2" max="4" width="15.5703125" style="24" customWidth="1"/>
    <col min="5" max="7" width="10" style="24" bestFit="1" customWidth="1"/>
    <col min="8" max="16384" width="9.140625" style="24"/>
  </cols>
  <sheetData>
    <row r="2" spans="1:7" ht="12" thickBot="1" x14ac:dyDescent="0.25"/>
    <row r="3" spans="1:7" ht="88.5" customHeight="1" x14ac:dyDescent="0.2">
      <c r="A3" s="203" t="s">
        <v>41</v>
      </c>
      <c r="B3" s="28" t="s">
        <v>36</v>
      </c>
      <c r="C3" s="29" t="s">
        <v>7</v>
      </c>
      <c r="D3" s="30">
        <f>D4+D5+D6</f>
        <v>5945640</v>
      </c>
      <c r="E3" s="31">
        <f>E4+E5+E6</f>
        <v>1981880</v>
      </c>
      <c r="F3" s="31">
        <f t="shared" ref="F3:G3" si="0">F4+F5+F6</f>
        <v>1981880</v>
      </c>
      <c r="G3" s="32">
        <f t="shared" si="0"/>
        <v>1981880</v>
      </c>
    </row>
    <row r="4" spans="1:7" ht="18" customHeight="1" x14ac:dyDescent="0.2">
      <c r="A4" s="201"/>
      <c r="B4" s="27" t="s">
        <v>3</v>
      </c>
      <c r="C4" s="20" t="s">
        <v>7</v>
      </c>
      <c r="D4" s="21">
        <f t="shared" ref="D4:G6" si="1">D8+D12+D16+D20+D24</f>
        <v>3942180</v>
      </c>
      <c r="E4" s="22">
        <f t="shared" si="1"/>
        <v>1314060</v>
      </c>
      <c r="F4" s="22">
        <f t="shared" si="1"/>
        <v>1314060</v>
      </c>
      <c r="G4" s="23">
        <f t="shared" si="1"/>
        <v>1314060</v>
      </c>
    </row>
    <row r="5" spans="1:7" ht="18" customHeight="1" x14ac:dyDescent="0.2">
      <c r="A5" s="201"/>
      <c r="B5" s="27" t="s">
        <v>4</v>
      </c>
      <c r="C5" s="20" t="s">
        <v>7</v>
      </c>
      <c r="D5" s="21">
        <f t="shared" si="1"/>
        <v>1970160</v>
      </c>
      <c r="E5" s="22">
        <f t="shared" si="1"/>
        <v>656720</v>
      </c>
      <c r="F5" s="22">
        <f t="shared" si="1"/>
        <v>656720</v>
      </c>
      <c r="G5" s="23">
        <f t="shared" si="1"/>
        <v>656720</v>
      </c>
    </row>
    <row r="6" spans="1:7" ht="18" customHeight="1" x14ac:dyDescent="0.2">
      <c r="A6" s="204"/>
      <c r="B6" s="26" t="s">
        <v>5</v>
      </c>
      <c r="C6" s="20" t="s">
        <v>7</v>
      </c>
      <c r="D6" s="21">
        <f t="shared" si="1"/>
        <v>33300</v>
      </c>
      <c r="E6" s="22">
        <f t="shared" si="1"/>
        <v>11100</v>
      </c>
      <c r="F6" s="22">
        <f t="shared" si="1"/>
        <v>11100</v>
      </c>
      <c r="G6" s="23">
        <f t="shared" si="1"/>
        <v>11100</v>
      </c>
    </row>
    <row r="7" spans="1:7" ht="78.75" x14ac:dyDescent="0.2">
      <c r="A7" s="200" t="s">
        <v>17</v>
      </c>
      <c r="B7" s="19" t="s">
        <v>36</v>
      </c>
      <c r="C7" s="20" t="s">
        <v>7</v>
      </c>
      <c r="D7" s="21">
        <f>D8+D9+D10</f>
        <v>2060265.48</v>
      </c>
      <c r="E7" s="22">
        <f>E8+E9+E10</f>
        <v>648585.48</v>
      </c>
      <c r="F7" s="22">
        <f t="shared" ref="F7:G7" si="2">F8+F9+F10</f>
        <v>705840</v>
      </c>
      <c r="G7" s="23">
        <f t="shared" si="2"/>
        <v>705840</v>
      </c>
    </row>
    <row r="8" spans="1:7" x14ac:dyDescent="0.2">
      <c r="A8" s="201"/>
      <c r="B8" s="27" t="s">
        <v>3</v>
      </c>
      <c r="C8" s="20" t="s">
        <v>7</v>
      </c>
      <c r="D8" s="21">
        <f>E8+F8+G8</f>
        <v>1150386.48</v>
      </c>
      <c r="E8" s="22">
        <v>364746.48</v>
      </c>
      <c r="F8" s="22">
        <v>392820</v>
      </c>
      <c r="G8" s="23">
        <v>392820</v>
      </c>
    </row>
    <row r="9" spans="1:7" x14ac:dyDescent="0.2">
      <c r="A9" s="201"/>
      <c r="B9" s="27" t="s">
        <v>4</v>
      </c>
      <c r="C9" s="20" t="s">
        <v>7</v>
      </c>
      <c r="D9" s="21">
        <f t="shared" ref="D9:D10" si="3">E9+F9+G9</f>
        <v>876579</v>
      </c>
      <c r="E9" s="22">
        <f>301920-29181</f>
        <v>272739</v>
      </c>
      <c r="F9" s="22">
        <v>301920</v>
      </c>
      <c r="G9" s="23">
        <v>301920</v>
      </c>
    </row>
    <row r="10" spans="1:7" x14ac:dyDescent="0.2">
      <c r="A10" s="204"/>
      <c r="B10" s="26" t="s">
        <v>5</v>
      </c>
      <c r="C10" s="20" t="s">
        <v>7</v>
      </c>
      <c r="D10" s="21">
        <f t="shared" si="3"/>
        <v>33300</v>
      </c>
      <c r="E10" s="22">
        <v>11100</v>
      </c>
      <c r="F10" s="22">
        <v>11100</v>
      </c>
      <c r="G10" s="23">
        <v>11100</v>
      </c>
    </row>
    <row r="11" spans="1:7" ht="78.75" x14ac:dyDescent="0.2">
      <c r="A11" s="200" t="s">
        <v>16</v>
      </c>
      <c r="B11" s="19" t="s">
        <v>36</v>
      </c>
      <c r="C11" s="20" t="s">
        <v>7</v>
      </c>
      <c r="D11" s="21">
        <f>D12+D13+D14</f>
        <v>838000</v>
      </c>
      <c r="E11" s="22">
        <f>E12+E13+E14</f>
        <v>238000</v>
      </c>
      <c r="F11" s="22">
        <f t="shared" ref="F11:G11" si="4">F12+F13+F14</f>
        <v>300000</v>
      </c>
      <c r="G11" s="23">
        <f t="shared" si="4"/>
        <v>300000</v>
      </c>
    </row>
    <row r="12" spans="1:7" x14ac:dyDescent="0.2">
      <c r="A12" s="201"/>
      <c r="B12" s="27" t="s">
        <v>3</v>
      </c>
      <c r="C12" s="20" t="s">
        <v>7</v>
      </c>
      <c r="D12" s="21">
        <f t="shared" ref="D12:D14" si="5">E12+F12+G12</f>
        <v>538000</v>
      </c>
      <c r="E12" s="22">
        <v>138000</v>
      </c>
      <c r="F12" s="22">
        <v>200000</v>
      </c>
      <c r="G12" s="23">
        <v>200000</v>
      </c>
    </row>
    <row r="13" spans="1:7" x14ac:dyDescent="0.2">
      <c r="A13" s="201"/>
      <c r="B13" s="27" t="s">
        <v>4</v>
      </c>
      <c r="C13" s="20" t="s">
        <v>7</v>
      </c>
      <c r="D13" s="21">
        <f t="shared" si="5"/>
        <v>300000</v>
      </c>
      <c r="E13" s="22">
        <v>100000</v>
      </c>
      <c r="F13" s="22">
        <v>100000</v>
      </c>
      <c r="G13" s="23">
        <v>100000</v>
      </c>
    </row>
    <row r="14" spans="1:7" x14ac:dyDescent="0.2">
      <c r="A14" s="204"/>
      <c r="B14" s="26" t="s">
        <v>5</v>
      </c>
      <c r="C14" s="20" t="s">
        <v>7</v>
      </c>
      <c r="D14" s="21">
        <f t="shared" si="5"/>
        <v>0</v>
      </c>
      <c r="E14" s="22">
        <v>0</v>
      </c>
      <c r="F14" s="22">
        <v>0</v>
      </c>
      <c r="G14" s="23">
        <v>0</v>
      </c>
    </row>
    <row r="15" spans="1:7" ht="78.75" x14ac:dyDescent="0.2">
      <c r="A15" s="200" t="s">
        <v>18</v>
      </c>
      <c r="B15" s="19" t="s">
        <v>36</v>
      </c>
      <c r="C15" s="20" t="s">
        <v>7</v>
      </c>
      <c r="D15" s="21">
        <f>D16+D17+D18</f>
        <v>2624974.52</v>
      </c>
      <c r="E15" s="22">
        <f>E16+E17+E18</f>
        <v>954494.52</v>
      </c>
      <c r="F15" s="22">
        <f t="shared" ref="F15:G15" si="6">F16+F17+F18</f>
        <v>835240</v>
      </c>
      <c r="G15" s="23">
        <f t="shared" si="6"/>
        <v>835240</v>
      </c>
    </row>
    <row r="16" spans="1:7" x14ac:dyDescent="0.2">
      <c r="A16" s="201"/>
      <c r="B16" s="25" t="s">
        <v>3</v>
      </c>
      <c r="C16" s="20" t="s">
        <v>7</v>
      </c>
      <c r="D16" s="21">
        <f t="shared" ref="D16:D18" si="7">E16+F16+G16</f>
        <v>1936393.52</v>
      </c>
      <c r="E16" s="22">
        <v>705513.52</v>
      </c>
      <c r="F16" s="22">
        <v>615440</v>
      </c>
      <c r="G16" s="23">
        <v>615440</v>
      </c>
    </row>
    <row r="17" spans="1:7" x14ac:dyDescent="0.2">
      <c r="A17" s="201"/>
      <c r="B17" s="25" t="s">
        <v>4</v>
      </c>
      <c r="C17" s="20" t="s">
        <v>7</v>
      </c>
      <c r="D17" s="21">
        <f t="shared" si="7"/>
        <v>688581</v>
      </c>
      <c r="E17" s="22">
        <f>219800+29181</f>
        <v>248981</v>
      </c>
      <c r="F17" s="22">
        <v>219800</v>
      </c>
      <c r="G17" s="23">
        <v>219800</v>
      </c>
    </row>
    <row r="18" spans="1:7" x14ac:dyDescent="0.2">
      <c r="A18" s="204"/>
      <c r="B18" s="26" t="s">
        <v>5</v>
      </c>
      <c r="C18" s="20" t="s">
        <v>7</v>
      </c>
      <c r="D18" s="21">
        <f t="shared" si="7"/>
        <v>0</v>
      </c>
      <c r="E18" s="22">
        <v>0</v>
      </c>
      <c r="F18" s="22">
        <v>0</v>
      </c>
      <c r="G18" s="23">
        <v>0</v>
      </c>
    </row>
    <row r="19" spans="1:7" ht="78.75" x14ac:dyDescent="0.2">
      <c r="A19" s="200" t="s">
        <v>19</v>
      </c>
      <c r="B19" s="19" t="s">
        <v>36</v>
      </c>
      <c r="C19" s="20" t="s">
        <v>7</v>
      </c>
      <c r="D19" s="21">
        <f>D20+D21+D22</f>
        <v>363000</v>
      </c>
      <c r="E19" s="22">
        <f>E20+E21+E22</f>
        <v>121000</v>
      </c>
      <c r="F19" s="22">
        <f t="shared" ref="F19:G19" si="8">F20+F21+F22</f>
        <v>121000</v>
      </c>
      <c r="G19" s="23">
        <f t="shared" si="8"/>
        <v>121000</v>
      </c>
    </row>
    <row r="20" spans="1:7" x14ac:dyDescent="0.2">
      <c r="A20" s="201"/>
      <c r="B20" s="25" t="s">
        <v>3</v>
      </c>
      <c r="C20" s="20" t="s">
        <v>7</v>
      </c>
      <c r="D20" s="21">
        <f t="shared" ref="D20:D22" si="9">E20+F20+G20</f>
        <v>258000</v>
      </c>
      <c r="E20" s="22">
        <v>86000</v>
      </c>
      <c r="F20" s="22">
        <v>86000</v>
      </c>
      <c r="G20" s="23">
        <v>86000</v>
      </c>
    </row>
    <row r="21" spans="1:7" x14ac:dyDescent="0.2">
      <c r="A21" s="201"/>
      <c r="B21" s="25" t="s">
        <v>4</v>
      </c>
      <c r="C21" s="20" t="s">
        <v>7</v>
      </c>
      <c r="D21" s="21">
        <f t="shared" si="9"/>
        <v>105000</v>
      </c>
      <c r="E21" s="22">
        <v>35000</v>
      </c>
      <c r="F21" s="22">
        <v>35000</v>
      </c>
      <c r="G21" s="23">
        <v>35000</v>
      </c>
    </row>
    <row r="22" spans="1:7" x14ac:dyDescent="0.2">
      <c r="A22" s="204"/>
      <c r="B22" s="26" t="s">
        <v>5</v>
      </c>
      <c r="C22" s="20" t="s">
        <v>7</v>
      </c>
      <c r="D22" s="21">
        <f t="shared" si="9"/>
        <v>0</v>
      </c>
      <c r="E22" s="22">
        <v>0</v>
      </c>
      <c r="F22" s="22">
        <v>0</v>
      </c>
      <c r="G22" s="23">
        <v>0</v>
      </c>
    </row>
    <row r="23" spans="1:7" ht="78.75" x14ac:dyDescent="0.2">
      <c r="A23" s="200" t="s">
        <v>20</v>
      </c>
      <c r="B23" s="19" t="s">
        <v>36</v>
      </c>
      <c r="C23" s="20" t="s">
        <v>7</v>
      </c>
      <c r="D23" s="21">
        <f>D24+D25+D26</f>
        <v>59400</v>
      </c>
      <c r="E23" s="22">
        <f>E24+E25+E26</f>
        <v>19800</v>
      </c>
      <c r="F23" s="22">
        <f t="shared" ref="F23:G23" si="10">F24+F25+F26</f>
        <v>19800</v>
      </c>
      <c r="G23" s="23">
        <f t="shared" si="10"/>
        <v>19800</v>
      </c>
    </row>
    <row r="24" spans="1:7" x14ac:dyDescent="0.2">
      <c r="A24" s="201"/>
      <c r="B24" s="25" t="s">
        <v>3</v>
      </c>
      <c r="C24" s="20" t="s">
        <v>7</v>
      </c>
      <c r="D24" s="21">
        <f t="shared" ref="D24:D26" si="11">E24+F24+G24</f>
        <v>59400</v>
      </c>
      <c r="E24" s="22">
        <v>19800</v>
      </c>
      <c r="F24" s="22">
        <v>19800</v>
      </c>
      <c r="G24" s="23">
        <v>19800</v>
      </c>
    </row>
    <row r="25" spans="1:7" x14ac:dyDescent="0.2">
      <c r="A25" s="201"/>
      <c r="B25" s="25" t="s">
        <v>4</v>
      </c>
      <c r="C25" s="20" t="s">
        <v>7</v>
      </c>
      <c r="D25" s="21">
        <f t="shared" si="11"/>
        <v>0</v>
      </c>
      <c r="E25" s="22">
        <v>0</v>
      </c>
      <c r="F25" s="22">
        <v>0</v>
      </c>
      <c r="G25" s="23">
        <v>0</v>
      </c>
    </row>
    <row r="26" spans="1:7" ht="12" thickBot="1" x14ac:dyDescent="0.25">
      <c r="A26" s="202"/>
      <c r="B26" s="33" t="s">
        <v>5</v>
      </c>
      <c r="C26" s="34" t="s">
        <v>7</v>
      </c>
      <c r="D26" s="35">
        <f t="shared" si="11"/>
        <v>0</v>
      </c>
      <c r="E26" s="36">
        <v>0</v>
      </c>
      <c r="F26" s="36">
        <v>0</v>
      </c>
      <c r="G26" s="37">
        <v>0</v>
      </c>
    </row>
    <row r="36" spans="1:4" ht="12" thickBot="1" x14ac:dyDescent="0.25"/>
    <row r="37" spans="1:4" ht="16.5" thickBot="1" x14ac:dyDescent="0.25">
      <c r="A37" s="38" t="s">
        <v>45</v>
      </c>
      <c r="B37" s="40" t="s">
        <v>46</v>
      </c>
      <c r="C37" s="40" t="s">
        <v>2</v>
      </c>
      <c r="D37" s="40" t="s">
        <v>44</v>
      </c>
    </row>
    <row r="38" spans="1:4" ht="125.25" customHeight="1" x14ac:dyDescent="0.2">
      <c r="A38" s="42" t="s">
        <v>47</v>
      </c>
      <c r="B38" s="43">
        <v>14262541.890000001</v>
      </c>
      <c r="C38" s="43">
        <v>12825267.32</v>
      </c>
      <c r="D38" s="44">
        <v>12825267.32</v>
      </c>
    </row>
    <row r="39" spans="1:4" ht="24" customHeight="1" x14ac:dyDescent="0.25">
      <c r="A39" s="45" t="s">
        <v>49</v>
      </c>
      <c r="B39" s="41">
        <v>19451044.690000001</v>
      </c>
      <c r="C39" s="41">
        <v>16646038.779999999</v>
      </c>
      <c r="D39" s="46">
        <v>16546038.779999999</v>
      </c>
    </row>
    <row r="40" spans="1:4" ht="32.25" customHeight="1" thickBot="1" x14ac:dyDescent="0.3">
      <c r="A40" s="47" t="s">
        <v>48</v>
      </c>
      <c r="B40" s="48">
        <f>B38-B39</f>
        <v>-5188502.8000000007</v>
      </c>
      <c r="C40" s="48">
        <f t="shared" ref="C40:D40" si="12">C38-C39</f>
        <v>-3820771.459999999</v>
      </c>
      <c r="D40" s="50">
        <f t="shared" si="12"/>
        <v>-3720771.459999999</v>
      </c>
    </row>
    <row r="41" spans="1:4" x14ac:dyDescent="0.2">
      <c r="A41" s="51"/>
      <c r="B41" s="52"/>
      <c r="C41" s="52"/>
      <c r="D41" s="53"/>
    </row>
    <row r="42" spans="1:4" x14ac:dyDescent="0.2">
      <c r="A42" s="51"/>
      <c r="B42" s="52"/>
      <c r="C42" s="52"/>
      <c r="D42" s="53"/>
    </row>
    <row r="43" spans="1:4" ht="16.5" thickBot="1" x14ac:dyDescent="0.3">
      <c r="A43" s="54" t="s">
        <v>50</v>
      </c>
      <c r="B43" s="55">
        <v>129048373.61</v>
      </c>
      <c r="C43" s="55">
        <v>123409494.86</v>
      </c>
      <c r="D43" s="56">
        <v>123309494.86</v>
      </c>
    </row>
    <row r="44" spans="1:4" ht="16.5" thickBot="1" x14ac:dyDescent="0.3">
      <c r="A44" s="65" t="s">
        <v>51</v>
      </c>
      <c r="B44" s="68">
        <f>SUM(B40:B43)</f>
        <v>123859870.81</v>
      </c>
      <c r="C44" s="68">
        <f>SUM(C40:C43)</f>
        <v>119588723.40000001</v>
      </c>
      <c r="D44" s="69">
        <f>SUM(D40:D43)</f>
        <v>119588723.40000001</v>
      </c>
    </row>
    <row r="45" spans="1:4" ht="16.5" thickBot="1" x14ac:dyDescent="0.3">
      <c r="A45" s="57"/>
      <c r="B45" s="58"/>
      <c r="C45" s="58"/>
      <c r="D45" s="58"/>
    </row>
    <row r="46" spans="1:4" ht="15.75" x14ac:dyDescent="0.25">
      <c r="A46" s="59" t="s">
        <v>54</v>
      </c>
      <c r="B46" s="61">
        <v>123842870.8</v>
      </c>
      <c r="C46" s="61">
        <v>119571723.39</v>
      </c>
      <c r="D46" s="62">
        <v>119571723.39</v>
      </c>
    </row>
    <row r="47" spans="1:4" ht="23.25" customHeight="1" x14ac:dyDescent="0.25">
      <c r="A47" s="45" t="s">
        <v>52</v>
      </c>
      <c r="B47" s="49">
        <v>17120.009999999998</v>
      </c>
      <c r="C47" s="49">
        <v>17120.009999999998</v>
      </c>
      <c r="D47" s="60">
        <v>17120.009999999998</v>
      </c>
    </row>
    <row r="48" spans="1:4" ht="16.5" thickBot="1" x14ac:dyDescent="0.3">
      <c r="A48" s="54" t="s">
        <v>53</v>
      </c>
      <c r="B48" s="63">
        <v>-120</v>
      </c>
      <c r="C48" s="63">
        <v>-120</v>
      </c>
      <c r="D48" s="64">
        <v>-120</v>
      </c>
    </row>
    <row r="49" spans="1:4" ht="16.5" thickBot="1" x14ac:dyDescent="0.3">
      <c r="A49" s="65" t="s">
        <v>55</v>
      </c>
      <c r="B49" s="66">
        <f>SUM(B46:B48)</f>
        <v>123859870.81</v>
      </c>
      <c r="C49" s="66">
        <f t="shared" ref="C49:D49" si="13">SUM(C46:C48)</f>
        <v>119588723.40000001</v>
      </c>
      <c r="D49" s="67">
        <f t="shared" si="13"/>
        <v>119588723.40000001</v>
      </c>
    </row>
    <row r="50" spans="1:4" ht="24" customHeight="1" x14ac:dyDescent="0.2">
      <c r="B50" s="39">
        <f>B49-B44</f>
        <v>0</v>
      </c>
      <c r="C50" s="39">
        <f t="shared" ref="C50:D50" si="14">C49-C44</f>
        <v>0</v>
      </c>
      <c r="D50" s="39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99" t="s">
        <v>81</v>
      </c>
    </row>
    <row r="3" spans="1:8" ht="15.75" thickBot="1" x14ac:dyDescent="0.3"/>
    <row r="4" spans="1:8" ht="15.75" thickBot="1" x14ac:dyDescent="0.3">
      <c r="A4" s="96" t="s">
        <v>83</v>
      </c>
      <c r="B4" s="92" t="s">
        <v>67</v>
      </c>
      <c r="C4" s="89" t="s">
        <v>66</v>
      </c>
      <c r="D4" s="89" t="s">
        <v>72</v>
      </c>
      <c r="E4" s="89" t="s">
        <v>73</v>
      </c>
      <c r="F4" s="89" t="s">
        <v>74</v>
      </c>
      <c r="G4" s="90" t="s">
        <v>75</v>
      </c>
      <c r="H4" s="91" t="s">
        <v>82</v>
      </c>
    </row>
    <row r="5" spans="1:8" ht="75.75" thickBot="1" x14ac:dyDescent="0.3">
      <c r="A5" s="95" t="s">
        <v>90</v>
      </c>
      <c r="B5" s="93">
        <v>40922577.420000002</v>
      </c>
      <c r="C5" s="85">
        <v>26848409.859999999</v>
      </c>
      <c r="D5" s="85">
        <v>13508409.689999999</v>
      </c>
      <c r="E5" s="85">
        <v>13508409.689999999</v>
      </c>
      <c r="F5" s="85">
        <v>13508409.689999999</v>
      </c>
      <c r="G5" s="86">
        <v>13508409.689999999</v>
      </c>
      <c r="H5" s="97">
        <f>SUM(B5:G5)</f>
        <v>121804626.03999999</v>
      </c>
    </row>
    <row r="6" spans="1:8" ht="45.75" thickBot="1" x14ac:dyDescent="0.3">
      <c r="A6" s="95" t="s">
        <v>91</v>
      </c>
      <c r="B6" s="94">
        <v>30751578.940000001</v>
      </c>
      <c r="C6" s="87">
        <v>30751578.940000001</v>
      </c>
      <c r="D6" s="87">
        <v>30751578.940000001</v>
      </c>
      <c r="E6" s="87">
        <v>30751578.940000001</v>
      </c>
      <c r="F6" s="87">
        <v>30751578.940000001</v>
      </c>
      <c r="G6" s="88">
        <v>30751578.940000001</v>
      </c>
      <c r="H6" s="98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2019-11-25T03:22:47Z</dcterms:modified>
</cp:coreProperties>
</file>